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0" yWindow="165" windowWidth="12405" windowHeight="10860" firstSheet="6" activeTab="11"/>
  </bookViews>
  <sheets>
    <sheet name="приложение 1" sheetId="1" r:id="rId1"/>
    <sheet name="приложение 2" sheetId="2" r:id="rId2"/>
    <sheet name="Таблица 1" sheetId="3" r:id="rId3"/>
    <sheet name="Таблица 2" sheetId="4" r:id="rId4"/>
    <sheet name="приложение 3" sheetId="5" r:id="rId5"/>
    <sheet name="приложение 5 (2)" sheetId="6" r:id="rId6"/>
    <sheet name="Приложение 6 (2)" sheetId="7" r:id="rId7"/>
    <sheet name="приложение 7" sheetId="8" r:id="rId8"/>
    <sheet name="приложение 8" sheetId="9" r:id="rId9"/>
    <sheet name="приложение 9" sheetId="10" r:id="rId10"/>
    <sheet name="приложение 10 (2)" sheetId="11" r:id="rId11"/>
    <sheet name="Приложение 11" sheetId="12" r:id="rId12"/>
  </sheets>
  <definedNames>
    <definedName name="_xlnm._FilterDatabase" localSheetId="11" hidden="1">'Приложение 11'!$A$1:$S$165</definedName>
    <definedName name="_xlnm._FilterDatabase" localSheetId="6" hidden="1">'Приложение 6 (2)'!$A$1:$S$165</definedName>
    <definedName name="_xlnm.Print_Area" localSheetId="10">'приложение 10 (2)'!$A$1:$F$79</definedName>
    <definedName name="_xlnm.Print_Area" localSheetId="11">'Приложение 11'!$A$1:$S$108</definedName>
    <definedName name="_xlnm.Print_Area" localSheetId="6">'Приложение 6 (2)'!$A$1:$S$165</definedName>
  </definedNames>
  <calcPr fullCalcOnLoad="1"/>
</workbook>
</file>

<file path=xl/sharedStrings.xml><?xml version="1.0" encoding="utf-8"?>
<sst xmlns="http://schemas.openxmlformats.org/spreadsheetml/2006/main" count="1501" uniqueCount="469">
  <si>
    <t>000 2 02 04000 00 0000 151</t>
  </si>
  <si>
    <t>000 2 02 04999 10 0000 151</t>
  </si>
  <si>
    <t>(тыс. руб)</t>
  </si>
  <si>
    <t>Рзд.</t>
  </si>
  <si>
    <t>Пр.</t>
  </si>
  <si>
    <t>Утвержденная сумма 2014 год</t>
  </si>
  <si>
    <t>Утвержденная сумма 2015 год</t>
  </si>
  <si>
    <t>Другие вопросы в области национальной безопасности</t>
  </si>
  <si>
    <t>Дорожное хозяйство (дорожные фонды)</t>
  </si>
  <si>
    <t>Физическая культура и спорт</t>
  </si>
  <si>
    <t>Всего</t>
  </si>
  <si>
    <t>Утвержденная сумма 2013г</t>
  </si>
  <si>
    <t>Дотация бюджетам поселений на поддержку мер по обеспечению сбалансированности бюджета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</si>
  <si>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</si>
  <si>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Субвенции на выполнение полномочий по государственной регистрации актов гражданского состояния</t>
  </si>
  <si>
    <t>Всего:</t>
  </si>
  <si>
    <t>Приложение 6</t>
  </si>
  <si>
    <t xml:space="preserve">Источники внутреннего финансирования дефицита бюджета </t>
  </si>
  <si>
    <t>Код</t>
  </si>
  <si>
    <t>Наименование видов истоников внутреннего финансирования дефицита бюджета</t>
  </si>
  <si>
    <t>Сумма</t>
  </si>
  <si>
    <t>2011г.</t>
  </si>
  <si>
    <t>2012г.</t>
  </si>
  <si>
    <t>Всего истоников внутреннего финансирования дифицита бюджета по состоянию на 01.01.2012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</si>
  <si>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</si>
  <si>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</si>
  <si>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</si>
  <si>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бюджеьов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</si>
  <si>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</si>
  <si>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</si>
  <si>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</si>
  <si>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</si>
  <si>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</si>
  <si>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</si>
  <si>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</si>
  <si>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</si>
  <si>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</si>
  <si>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</si>
  <si>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</si>
  <si>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</si>
  <si>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2013г</t>
  </si>
  <si>
    <t>Сумма на  год</t>
  </si>
  <si>
    <t>Приложение 5</t>
  </si>
  <si>
    <t>к проекту решения</t>
  </si>
  <si>
    <t>Совета депутатов</t>
  </si>
  <si>
    <t>Код бюджетной классификации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</si>
  <si>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</si>
  <si>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000 1 11 05013 10 0000 120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</si>
  <si>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</si>
  <si>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</si>
  <si>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2016 год</t>
  </si>
  <si>
    <t>Приложение 3</t>
  </si>
  <si>
    <t xml:space="preserve">Наименование </t>
  </si>
  <si>
    <t>2016г</t>
  </si>
  <si>
    <t>Приложение 7</t>
  </si>
  <si>
    <t>Приложение 8</t>
  </si>
  <si>
    <t>Код бюджетной классификации Российской Федерации</t>
  </si>
  <si>
    <t>Наименование главного администратора доходов бюджета поселения</t>
  </si>
  <si>
    <t>главного администратора доходов</t>
  </si>
  <si>
    <t>доходов бюджета поселения</t>
  </si>
  <si>
    <t>1 11 05035 10 0000 120</t>
  </si>
  <si>
    <t>1 11 09045 10 0000 120</t>
  </si>
  <si>
    <t>1 13 01995 10 0000 130</t>
  </si>
  <si>
    <t>1 13 02995 10 0000 130</t>
  </si>
  <si>
    <t>1 14 01050 10 0000 410</t>
  </si>
  <si>
    <t>1 14 02052 10 0000 410</t>
  </si>
  <si>
    <t>1 14 02052 10 0000 440</t>
  </si>
  <si>
    <t>1 14 02053 10 0000 410</t>
  </si>
  <si>
    <t>1 14 02053 10 0000 440</t>
  </si>
  <si>
    <t>1 14 06025 10 0000 430</t>
  </si>
  <si>
    <t>1 16 23051 10 0000 140</t>
  </si>
  <si>
    <t>1 16 23052 10 0000 140</t>
  </si>
  <si>
    <t>1 16 90050 10 0000 140</t>
  </si>
  <si>
    <t>1 17 05050 10 0000 180</t>
  </si>
  <si>
    <t>Прочие неналоговые доходы бюджетов поселений</t>
  </si>
  <si>
    <t>Перечень главных администраторов доходов бюджета сельского поселения Аган</t>
  </si>
  <si>
    <t>Приложение 1</t>
  </si>
  <si>
    <t>2 02 00000 00 0000 000</t>
  </si>
  <si>
    <t>Безвозмездные поступления*</t>
  </si>
  <si>
    <t>* Администрирование поступлений по всем подстатьям, статьям, подгруппам группы доходов "2 00 00000 00 - безвозмездные поступления" осуществляется администратором, указанным в группировочном коде бюджетной классификации</t>
  </si>
  <si>
    <t>1 08 04020 01 0000 110</t>
  </si>
  <si>
    <t>Управление Федеральной службы по надзору в сфере природопользования (Росприроднадзора) по Ханты-Мансийскому автономному округу-Югре</t>
  </si>
  <si>
    <t>1 16 90050 10 0000 140</t>
  </si>
  <si>
    <t>Межрайонная инспекция Федеральной налоговой  службы №6 по Ханты-Мансийскому автономному округу - Югре</t>
  </si>
  <si>
    <t>1 01 02010 01 0000 110</t>
  </si>
  <si>
    <t>1 01 02030 01 0000 110</t>
  </si>
  <si>
    <t>1 01 02040 01 0000 110</t>
  </si>
  <si>
    <t>1 05 03010 01 0000 110</t>
  </si>
  <si>
    <t>1 05 03020 01 0000 110</t>
  </si>
  <si>
    <t>1 06 01030 10 0000 110</t>
  </si>
  <si>
    <t>1 06 06013 10 0000 110</t>
  </si>
  <si>
    <t>1 06 06023 10 0000 110</t>
  </si>
  <si>
    <t>1 09 04053 10 0000 110</t>
  </si>
  <si>
    <t>1 16 21050 10 0000 140</t>
  </si>
  <si>
    <t>Управление Федеральной службы судебных приставов по Ханты-Мансийскому автономному округу-Югре</t>
  </si>
  <si>
    <t>Таблица 1</t>
  </si>
  <si>
    <t>Перечень главных администраторов доходов, поступающих в бюджет сельского поселения Аган, администрирование которых осуществляют органы исполнительной власти Российской Федерации</t>
  </si>
  <si>
    <t>1000 – сумма платежа (перерасчеты, недоимка и задолженность по соответствующему платежу, в том числе по отмененному);</t>
  </si>
  <si>
    <t>2000 – пени и проценты по соответствующему платежу;</t>
  </si>
  <si>
    <t>Российской федерации</t>
  </si>
  <si>
    <t xml:space="preserve">доходов бюджета сельского поселения </t>
  </si>
  <si>
    <t>1 16 33050 10 0000 140</t>
  </si>
  <si>
    <t>Наименование главного администратора доходов бюджета сельского поселения</t>
  </si>
  <si>
    <t>Администрация Нижневартовского района</t>
  </si>
  <si>
    <t>048</t>
  </si>
  <si>
    <t xml:space="preserve">*В части доходов, зачисляемых в бюджет поселения. </t>
  </si>
  <si>
    <r>
      <t xml:space="preserve">3000 </t>
    </r>
    <r>
      <rPr>
        <b/>
        <sz val="10"/>
        <color indexed="8"/>
        <rFont val="Times New Roman"/>
        <family val="1"/>
      </rPr>
      <t>–</t>
    </r>
    <r>
      <rPr>
        <b/>
        <sz val="12"/>
        <color indexed="8"/>
        <rFont val="Times New Roman"/>
        <family val="1"/>
      </rPr>
      <t xml:space="preserve"> суммы денежных взысканий (штрафов) по соответствующему платежу согласно законодательству Российской Федерации</t>
    </r>
  </si>
  <si>
    <t>Код главы</t>
  </si>
  <si>
    <t>Код группы, подгруппы, статьи и вида источников</t>
  </si>
  <si>
    <t>01 01 00 00 10 0000 710</t>
  </si>
  <si>
    <t>01 01 00 00 10 0000 810</t>
  </si>
  <si>
    <t>01 02 00 00 10 0000 710</t>
  </si>
  <si>
    <t>01 02 00 00 10 0000 810</t>
  </si>
  <si>
    <t>01 03 00 00 10 0000 710</t>
  </si>
  <si>
    <t>01 03 00 00 10 0000 810</t>
  </si>
  <si>
    <t>01 05 02 01 10 0000 510</t>
  </si>
  <si>
    <t>01 05 02 01 10 0000 610</t>
  </si>
  <si>
    <t>01 06 01 00 10 0000 630</t>
  </si>
  <si>
    <t>01 06 05 01 10 0000 540</t>
  </si>
  <si>
    <t>01 06 05 01 10 0000 640</t>
  </si>
  <si>
    <t>01 06 06 00 10 0000 710</t>
  </si>
  <si>
    <t>01 06 06 00 10 0000 810</t>
  </si>
  <si>
    <t>Приложение 2</t>
  </si>
  <si>
    <t>Плановый период</t>
  </si>
  <si>
    <t>Межбюджетные трансферты бюджетам муниципальных районов из бюджетов поселений на осуществление части полномочий  по решению вопросов местного значения, в соответствии с заключенными соглашениями, в том числе: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</si>
  <si>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</si>
  <si>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Межбюджетные трансферты на содержание работников органов местного самоуправления района, осуществляющих предаваемые полномочия от поселений</t>
  </si>
  <si>
    <t>Приложение 9</t>
  </si>
  <si>
    <t>Первая часть дотации из районного фонда финансовой поддержки поселений в расчете на одного жителя</t>
  </si>
  <si>
    <t>Вторая часть дотации из районного фонда финансовой поддержки поселений на выравнивание бюджетной обеспеченности поселения</t>
  </si>
  <si>
    <t>тыс.руб.</t>
  </si>
  <si>
    <t>Социальная политика</t>
  </si>
  <si>
    <t>СОЦИАЛЬНАЯ ПОЛИТИКА</t>
  </si>
  <si>
    <t>Пенсионное обеспечение</t>
  </si>
  <si>
    <t xml:space="preserve">      </t>
  </si>
  <si>
    <t xml:space="preserve">1 13 01540 10 0000 130 </t>
  </si>
  <si>
    <t xml:space="preserve">1 16 32000 10 0000 140 </t>
  </si>
  <si>
    <t>Всего истоников внутреннего финансирования дифицита бюджета по состоянию на 01.01.2016</t>
  </si>
  <si>
    <t xml:space="preserve">1 16 37040 10 0000 140 </t>
  </si>
  <si>
    <t xml:space="preserve">1 11 05013 10 0000 120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</si>
  <si>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</si>
  <si>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 xml:space="preserve">1 11 05025 10 0000 120 </t>
  </si>
  <si>
    <t xml:space="preserve">1 11 05027 10 0000 120 </t>
  </si>
  <si>
    <t xml:space="preserve">1 11 09045 10 0000 120 </t>
  </si>
  <si>
    <t xml:space="preserve">1 14 06013 10 0000 430 </t>
  </si>
  <si>
    <t>ВР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</si>
  <si>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</si>
  <si>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</si>
  <si>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Резервный фонд</t>
  </si>
  <si>
    <t>Подпрограмма "Создание условий для обеспечения качественными коммунальными услугами"</t>
  </si>
  <si>
    <t>Подпрограмма "Повышение энергоэффективности"</t>
  </si>
  <si>
    <t>Приложение 11</t>
  </si>
  <si>
    <t>ЦСР</t>
  </si>
  <si>
    <t>Сумма на 2016 год</t>
  </si>
  <si>
    <t>000</t>
  </si>
  <si>
    <t>121</t>
  </si>
  <si>
    <t>122</t>
  </si>
  <si>
    <t>244</t>
  </si>
  <si>
    <t>852</t>
  </si>
  <si>
    <t>810</t>
  </si>
  <si>
    <t>540</t>
  </si>
  <si>
    <t>870</t>
  </si>
  <si>
    <t>110</t>
  </si>
  <si>
    <t>240</t>
  </si>
  <si>
    <t>321</t>
  </si>
  <si>
    <t>00.0.0000</t>
  </si>
  <si>
    <t>Реализация мероприятий программы в рамках муниципальной программы "Развитие транспортной системы на территории сельского поселения Аган на 2014-2016годы"</t>
  </si>
  <si>
    <t>Муниципальные программы</t>
  </si>
  <si>
    <t>Ведомтсвенные программы</t>
  </si>
  <si>
    <t>1 17 01050 10 0000 180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</si>
  <si>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</si>
  <si>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</si>
  <si>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</si>
  <si>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</si>
  <si>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r>
      <t>Единый сельскохозяйственный налог</t>
    </r>
    <r>
      <rPr>
        <vertAlign val="superscript"/>
        <sz val="12"/>
        <color indexed="8"/>
        <rFont val="Times New Roman"/>
        <family val="1"/>
      </rPr>
      <t xml:space="preserve">  *, **</t>
    </r>
  </si>
  <si>
    <t>Единый сельскохозяйственный налог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</si>
  <si>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поселений  **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</si>
  <si>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 **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</si>
  <si>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**</t>
  </si>
  <si>
    <r>
      <t xml:space="preserve">Земельный налог (по обязательствам, возникшим до 1 января 2006 года), мобилизуемый на территориях поселений </t>
    </r>
    <r>
      <rPr>
        <vertAlign val="superscript"/>
        <sz val="12"/>
        <color indexed="8"/>
        <rFont val="Times New Roman"/>
        <family val="1"/>
      </rPr>
      <t>**</t>
    </r>
  </si>
  <si>
    <r>
      <t xml:space="preserve">Управление Министерства внутренних дел Российской Федерации по Ханты-Мансийскому автономному округу </t>
    </r>
    <r>
      <rPr>
        <b/>
        <sz val="12"/>
        <color indexed="8"/>
        <rFont val="Times New Roman"/>
        <family val="1"/>
      </rPr>
      <t xml:space="preserve">– </t>
    </r>
    <r>
      <rPr>
        <b/>
        <sz val="12"/>
        <color indexed="63"/>
        <rFont val="Times New Roman"/>
        <family val="1"/>
      </rPr>
      <t>Югре</t>
    </r>
  </si>
  <si>
    <t>* В части доходов зачисляемых в бюджет сельского поселения Аган</t>
  </si>
  <si>
    <t>**В платежных поручениях в14-17 разрядах плательщики указывают код подвида доходов:</t>
  </si>
  <si>
    <t>плановый период</t>
  </si>
  <si>
    <t>2016г.</t>
  </si>
  <si>
    <t>01 06 06 01 10 0000 650</t>
  </si>
  <si>
    <t>01 06 06 01 10 0000 550</t>
  </si>
  <si>
    <t>Налог  на  доходы   физических   лиц   с  доходов,  источником  которых   является налоговый агент, за исключением доходов, в отношении которых исчисление и  уплата  налога осуществляются в соответствии  со статьями  227,  227.1  и  228 Налогового  кодекса Российской Федерации *, **</t>
  </si>
  <si>
    <t>2017 год</t>
  </si>
  <si>
    <t xml:space="preserve"> 2017 год</t>
  </si>
  <si>
    <t>2017г</t>
  </si>
  <si>
    <t>2017г.</t>
  </si>
  <si>
    <t>*</t>
  </si>
  <si>
    <t>Сумма на 2017 год</t>
  </si>
  <si>
    <t>000 2 02 04014 10 0000 151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</si>
  <si>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</si>
  <si>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</si>
  <si>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t>Ведомственная целевая программа "Обеспечение осуществления полномочий администрации сельского поселения Аган на 2014-2017 годы"</t>
  </si>
  <si>
    <t>Ведомственная целевая программа "Организация бюджетного процесса в сельском поселении Аган на 2014-2017 годы"</t>
  </si>
  <si>
    <t>Ведомственная целевая программа "Обеспечение деятельности органов местного самоуправления сельского поселения Аган на 2014-2017 годы"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</si>
  <si>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</si>
  <si>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</si>
  <si>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</si>
  <si>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</si>
  <si>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Межбюджетные трансферты</t>
  </si>
  <si>
    <t>Закупка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</si>
  <si>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</si>
  <si>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</si>
  <si>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 xml:space="preserve">Уплата прочих налогов, сборов </t>
  </si>
  <si>
    <t>Резервные средства (прочая закупка товаров, работ и услуг для муниципальных нужд)</t>
  </si>
  <si>
    <t>Расходы на выплаты персоналу казенных учреждений</t>
  </si>
  <si>
    <t>Иные выплаты персоналу казенных учреждений, за исключением фонда оплаты труда</t>
  </si>
  <si>
    <t>муниципальная программа "Развитие транспортной системы на территории сельского поселения Аган на 2014-2017годы"</t>
  </si>
  <si>
    <t>Реализация мероприятий программы в рамках МП "Развитие транспортной системы на территории сельского поселения Аган на 2014-2017годы"</t>
  </si>
  <si>
    <t>муниципальная программа "Профилактика правонарушений в сфере общественного порядка в сельском поселении Аган на 2014–2017 годы"</t>
  </si>
  <si>
    <t>муниципальная программа "Управление муниципальным имуществом на территории сельского поселения Аган на 2014−2017 годы"</t>
  </si>
  <si>
    <t>Ведомственная целевая программа "Создание условий для эффективного управления муниципальными финансами и повышения устойчивости бюджета сельского поселения Аган на 2014-2017 годы"</t>
  </si>
  <si>
    <t>КУЛЬТУРА, КИНЕМАТОГРАФИЯ</t>
  </si>
  <si>
    <t>Ведомственная целевая программа "Развитие культуры в сельском поселении Аган на 2014–2017 годы"</t>
  </si>
  <si>
    <t>Расходы на обеспечение деятельности учреждения в рамках ВЦП Развитие культуры в сельском поселении Аган на 2014–2017 годы"</t>
  </si>
  <si>
    <t xml:space="preserve">Расходы на пенсионное обеспечение в рамках ВЦП "Обеспечение деятельности органов местного самоуправления сельского поселения Аган на 2014-2017 годы" </t>
  </si>
  <si>
    <t>Социальное обеспечение и иные выплаты населению</t>
  </si>
  <si>
    <t>Пособия, компенсации и иные социальные выплаты гражданам, кроме публичных нормативных обязательств</t>
  </si>
  <si>
    <t>Ведомственная целевая программа "Развитие физической культуры и спорта в сельском поселении Аган на 2014–2017 годы"</t>
  </si>
  <si>
    <t>Расходы на обеспечение деятельности учреждения в рамках ВЦП Развитие физической культуры и спорта в сельском поселении Аган на 2014–2017 годы"</t>
  </si>
  <si>
    <t>Реализация мероприятий программы в рамках МП "Управление муниципальным имуществом на территории сельского поселения Аган на 2014−2017 годы"</t>
  </si>
  <si>
    <t>муниципальная программа "Развитие жилищно-коммунального хозяйства на территории сельского поселения Аган на 2014-2017годы"</t>
  </si>
  <si>
    <t>Реализация мероприятий программы в рамках МП "Развитие жилищно-коммунального хозяйства на территории сельского поселения Аган на 2014-2017годы"</t>
  </si>
  <si>
    <t>Реализациямероприятий подпрограммы "Повышение энергоэффективности" в рамках МП "Развитие жилищно-коммунального хозяйства на территории сельского поселения Аган на 2014-2017годы"</t>
  </si>
  <si>
    <t>800</t>
  </si>
  <si>
    <t>Муниципальная программа "Развитие жилищно-коммунального хозяйства на  территории сельского поселения Аган на 2014-2017годы"</t>
  </si>
  <si>
    <t>Реализация мероприятий подпрограммы "Создание условий для обеспечения качественными коммунальными услугами" в рамках МП Муниципальная программа "Развитие жилищно-коммунального хозяйства на  территории сельского поселения Аган на 2014-2017годы"</t>
  </si>
  <si>
    <t>Реализация мероприятий подпрограммы "Повышение энергоэффективности" в рамках МП Муниципальная программа "Развитие жилищно-коммунального хозяйства на  территории сельского поселения Аган на 2014-2017годы"</t>
  </si>
  <si>
    <t>200</t>
  </si>
  <si>
    <t>Реализация мероприятий программы в рамках МП "Профилактика правонарушений в сфере общественного порядка в сельском поселении Аган на 2014–2017 годы"</t>
  </si>
  <si>
    <t>Муниципальная программа "Профилактика правонарушений в сфере общественного порядка в сельском поселении Аган на 2014–2017 годы"</t>
  </si>
  <si>
    <t>Муниципальная программа "Управление муниципальным имуществом на территории сельского поселения Аган на 2014–2017 годы"</t>
  </si>
  <si>
    <t>Реализация мероприятий программы в рамках муниципальной программы "Обеспечение страховой защиты имущества сельского поселения Аган на 2014–2017 годы"</t>
  </si>
  <si>
    <t>Ведомственная целевая программа "Защита населения и территорий от чрезвычайных ситуаций, обеспечение пожарной безопасности в сельском поселении Аган на 2014-2017 годы"</t>
  </si>
  <si>
    <t>100</t>
  </si>
  <si>
    <t>111</t>
  </si>
  <si>
    <t>112</t>
  </si>
  <si>
    <t>242</t>
  </si>
  <si>
    <t>Функционирование высшего должностного лица органа местного самоуправления  в рамках ВЦП "Обеспечение осуществления полномочий администрации сельского поселения Аган на 2014-2017 годы"</t>
  </si>
  <si>
    <t xml:space="preserve">Функционирование законодательных органов местного самоуправления в рамках ВЦП  "Обеспечение осуществления полномочий администрации сельского поселения Аган на 2014-2017 годы" </t>
  </si>
  <si>
    <t>Функционирование исполнительных органов местного самоуправления в рамках ВЦП "Обеспечение осуществления полномочий администрации сельского поселения Аган на 2014-2017 годы"</t>
  </si>
  <si>
    <t>Осуществление первичного воинского учета, на территориях, где отсутствуют военные комиссариаты в рамках ВЦП "Обеспечение осуществления полномочий администрации сельского поселения Аган на 2014-2017 годы"</t>
  </si>
  <si>
    <t>Субвенции на осуществление полномочий государственной регистрации актов гражданского состояния в рамках ВЦП «Обеспечение осуществления полномочий администрации сельского поселения Аган на 2014-2017 годы»</t>
  </si>
  <si>
    <t>120</t>
  </si>
  <si>
    <t>500</t>
  </si>
  <si>
    <t>850</t>
  </si>
  <si>
    <t>Уплата прочих налогов, сборов</t>
  </si>
  <si>
    <t>300</t>
  </si>
  <si>
    <t>Реализация мероприятий программы в рамках Ведомственная целевая программа "Создание условий для эффективного управления муниципальными финансами и повышения устойчивости бюджета сельского поселения Аган на 2014-2017 годы"</t>
  </si>
  <si>
    <t>Субсидии юридическим лицам (кроме некоммерческих организаций), индивидуальным предпринимателям, физическим лицам</t>
  </si>
  <si>
    <t>Приложение 10</t>
  </si>
  <si>
    <t xml:space="preserve">МКУ УОДОМС с.п. Аган в рамках ВЦП "Обеспечение деятельности органов местного самоуправления сельского поселения Аган на 2014-2017 годы" 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</si>
  <si>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 в рамках ВЦП "Защита населения и территорий от чрезвычайных ситуаций, обеспечение пожарной безопасности в сельском поселении Аган на 2014-2017 годы" </t>
  </si>
  <si>
    <t>в том числе субвенции</t>
  </si>
  <si>
    <t>Управление Федеральной антимонопольной службы по Ханты-Мансийскому автономному округу-Югре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</si>
  <si>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работ. оказание услуг для нужд муниципальных районов</t>
  </si>
  <si>
    <t>приложения 2</t>
  </si>
  <si>
    <t>1 16 33050 05 0000 140</t>
  </si>
  <si>
    <t>Ведомственная структура расходов бюджета сельского поселения, в том числе в её составе перечень главных распорядителей средств бюджета поселения на 2016 год</t>
  </si>
  <si>
    <t>в бюджет администрации сельского поселения Аган в 2016 году</t>
  </si>
  <si>
    <t xml:space="preserve">Перечень главных администраторов доходов, поступающих в
 бюджет сельского поселения Аган, администрирование которых осуществляют органы местного самоуправления  Нижневартовского района </t>
  </si>
  <si>
    <t>Перечень
главных администраторов источников финансирования дефицита бюджета                                                                                      сельского поселения Аган</t>
  </si>
  <si>
    <t>Распределение бюджетных ассигнований по разделам и подразделам классификации расходов бюджета сельского поселения Аган на 2016 год</t>
  </si>
  <si>
    <t xml:space="preserve">Объем межбюджетных трансфертов бюджету сельского поселения Аган из других бюджетов бюджетной системы Российской Федерации на 2016 год </t>
  </si>
  <si>
    <t xml:space="preserve">сельского поселения Аган на 2016 год </t>
  </si>
  <si>
    <t xml:space="preserve">Объем средств, передаваемых бюджету района из бюджета поселения на осуществление части полномочий по решению вопросов местного значения в соответствии с заключенными соглашениями на 2016 год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</si>
  <si>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Аган на 2016 год</t>
  </si>
  <si>
    <t>000 1 11 05025 10 0000 120</t>
  </si>
  <si>
    <t>000 1 11 05027 10 0000 120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</si>
  <si>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</si>
  <si>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</si>
  <si>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Муниципальная программа "Развитие транспортной системы на территории сельского поселения Аган на 2014-2017годы"</t>
  </si>
  <si>
    <t>2018 год</t>
  </si>
  <si>
    <t xml:space="preserve"> 2018 год</t>
  </si>
  <si>
    <t>2018г</t>
  </si>
  <si>
    <t>2018г.</t>
  </si>
  <si>
    <t>Сумма на 2018 год</t>
  </si>
  <si>
    <t>от №</t>
  </si>
  <si>
    <t>Физическая культура</t>
  </si>
  <si>
    <t>ФИЗИЧЕСКАЯ КУЛЬТУРА И СПОРТ</t>
  </si>
  <si>
    <t>Кинематография</t>
  </si>
  <si>
    <t>Культура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</si>
  <si>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</si>
  <si>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</si>
  <si>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</si>
  <si>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</si>
  <si>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Национальная экономика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</si>
  <si>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</si>
  <si>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</si>
  <si>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</si>
  <si>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</si>
  <si>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</si>
  <si>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</si>
  <si>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Иные межбюджетные трансферты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</si>
  <si>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</si>
  <si>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</si>
  <si>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</si>
  <si>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</si>
  <si>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Администрация сельского поселения Аган</t>
  </si>
  <si>
    <t>вид расхода</t>
  </si>
  <si>
    <t>целевая статья</t>
  </si>
  <si>
    <t>подраздел</t>
  </si>
  <si>
    <t>раздел</t>
  </si>
  <si>
    <t>структура расходов</t>
  </si>
  <si>
    <t>ведомственной классификации</t>
  </si>
  <si>
    <t>Коды</t>
  </si>
  <si>
    <t>Наименование</t>
  </si>
  <si>
    <t/>
  </si>
  <si>
    <t>Фонд оплаты труда и страховых взносов</t>
  </si>
  <si>
    <t>Прочая закупка товаров, работ и услуг для государственных (муниципальных) нужд</t>
  </si>
  <si>
    <t>Резервные средства</t>
  </si>
  <si>
    <t>Закупка товаров, работ, услуг в сфере информационно-коммуникационных технологий</t>
  </si>
  <si>
    <t>Иные выплаты персоналу, за исключением фонда оплаты труда</t>
  </si>
  <si>
    <t>сельского поселения Аган</t>
  </si>
  <si>
    <t>Другие вопросы в области национальной безопасности и правоохранительной деятельности</t>
  </si>
  <si>
    <t>Органы юстиции</t>
  </si>
  <si>
    <t>Утвержденная сумма 2013 год</t>
  </si>
  <si>
    <t>Безвозмездные поступления</t>
  </si>
  <si>
    <t xml:space="preserve">Код классификации                              доходов </t>
  </si>
  <si>
    <t xml:space="preserve">Наименование кода классификации доходов   </t>
  </si>
  <si>
    <t>Изменения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</si>
  <si>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</si>
  <si>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</si>
  <si>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</si>
  <si>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</si>
  <si>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</si>
  <si>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</si>
  <si>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000 2 02 01001 10 0000 151</t>
  </si>
  <si>
    <t>000 2 02 01003 10 0000 151</t>
  </si>
  <si>
    <t>000 2 02 03000 00 0000 151</t>
  </si>
  <si>
    <t>Субвенции бюджетам субъектов Российской Федерации и муниципальных образований</t>
  </si>
  <si>
    <t>000 2 02  03003 10 0000 151</t>
  </si>
  <si>
    <t>000 2 02 03015 10 0000 151</t>
  </si>
  <si>
    <t>Дотации бюджетам  сельских поселений на выравнивание бюджетной обеспеченности</t>
  </si>
  <si>
    <t>Дотации бюджетам сельских  поселений на поддержку мер по обеспечению сбалансированности бюджетов</t>
  </si>
  <si>
    <t>Субвенции бюджетамсельских 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</si>
  <si>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</si>
  <si>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 поселений</t>
  </si>
  <si>
    <t>Межбюджетные трансферты, передаваемые бюджетам сельских  поселений  из бюджетов муниципаьных районов на осуществление части полномочий по решению вопросов местного значния в соответствии с заключенными соглашениями</t>
  </si>
  <si>
    <t>Доходы от сдачи в аренду имущества, находящегося в оперативном управлении органов управления 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</si>
  <si>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</si>
  <si>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 поселений</t>
  </si>
  <si>
    <t>Прочие доходы от компенсации затрат бюджетов сельских  поселений</t>
  </si>
  <si>
    <t>Доходы от продажи квартир, находящихся в собственности  сельских поселений</t>
  </si>
  <si>
    <t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</si>
  <si>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</si>
  <si>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</si>
  <si>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</si>
  <si>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Доходы от продажи земельных участков, находящихся в собственности  сельских поселений (за исключением земельных участков муниципальных бюджетных и автономных учреждений)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</si>
  <si>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                      бюджетов сельских поселений</t>
  </si>
  <si>
    <t>Доходы от возмещения ущерба при возникновении иных страховых случаев по обязательному страхованию гражданской ответственности, когда выгодоприобретателями  выступают получатели средств бюджетов  сельских поселений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</si>
  <si>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</si>
  <si>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Невыясненные поступления, зачисляемые в бюджеты сельских 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</si>
  <si>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</si>
  <si>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 сельских поселений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</si>
  <si>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 сельских поселений</t>
  </si>
  <si>
    <t>Плата за  оказание услуг по присоединению объектов дорожного сервиса к автомобильным дорогам общего пользования местного значения, зачисляемая в бюджеты сельских  поселений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</si>
  <si>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</si>
  <si>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 xml:space="preserve">Поступления  сумм в возмещение вреда, причиняемого автомобильным дорогам местного значения    транспортными средствами, осуществляющими перевозки тяжеловесных и  (или) крупногабаритных грузов, зачисляемые в бюджеты  сельских поселений  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</si>
  <si>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</si>
  <si>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Доходы, получаемые  в виде арендной платы  за земельные участки, расположенные в полосе отвода автомобильных дорог общего пользования местного значения, находящихся в собственности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</si>
  <si>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 поселений</t>
  </si>
  <si>
    <t>Размещение муниципальных ценных бумаг  сельских поселений, номинальная стоимость которых указана в валюте Российской Федерации</t>
  </si>
  <si>
    <t>Погашение муниципальных ценных бумаг сельских  поселений, номинальная стоимость которых указана в валюте Российской Федерации</t>
  </si>
  <si>
    <t>Получение кредитов от кредитных организаций бюджетами сельских  поселений в валюте Российской Федерации</t>
  </si>
  <si>
    <t>Погашение бюджетами 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</si>
  <si>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 поселений  в валюте Российской Федерации</t>
  </si>
  <si>
    <t>Погашение бюджетами  сельских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</si>
  <si>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 поселений</t>
  </si>
  <si>
    <t>Уменьшение прочих остатков денежных средств бюджетов  сельских поселений</t>
  </si>
  <si>
    <t>Средства от продажи акций и иных форм участия в капитале, находящихся в собственности сельских  поселений</t>
  </si>
  <si>
    <t>Предоставление бюджетных кредитов юридическим лицам из бюджетов сельских  поселений  в валюте Российской Федерации</t>
  </si>
  <si>
    <t>Возврат бюджетных кредитов, предоставленных юридическим лицам  из бюджетов сельских  поселений в валюте Российской Федерации</t>
  </si>
  <si>
    <t>Увеличение иных финансовых активов в собственности  сельских поселений</t>
  </si>
  <si>
    <t>Уменьшение иных финансовых активов в собственности сельских  поселений</t>
  </si>
  <si>
    <t>Привлечение прочих источников внутреннего финансирования дефицита бюджетов сельских  поселений</t>
  </si>
  <si>
    <t>Погашение обязательств за счет прочих источников внутреннего финансирования дефицита бюджетов  сельских поселений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</si>
  <si>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сельских поселений,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</si>
  <si>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сельских поселений</t>
  </si>
  <si>
    <t>Распределение бюджетных ассигнований по разделам, подразделам, целевым статьям (муниципальным программам, ведомственным целевым программам  и непрограммным направлениям деятельности), группам (группам и подгруппам) видов расходов бюджета сельского поселения Аган на 2016 год</t>
  </si>
  <si>
    <t>00.0.00.00000</t>
  </si>
  <si>
    <t>50.0.00.00000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</si>
  <si>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</si>
  <si>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)органов</t>
  </si>
  <si>
    <t>50.0.00.02040</t>
  </si>
  <si>
    <t>01</t>
  </si>
  <si>
    <t>03</t>
  </si>
  <si>
    <t>54.0.00.00000</t>
  </si>
  <si>
    <t>54.0.00.00590</t>
  </si>
  <si>
    <t xml:space="preserve">Фонд оплаты труда казенных учреждений </t>
  </si>
  <si>
    <t>50.0.00.51180</t>
  </si>
  <si>
    <t>50.0.00.D9300</t>
  </si>
  <si>
    <t>40.0.00.00000</t>
  </si>
  <si>
    <t>55.0.00.00000</t>
  </si>
  <si>
    <t>44.0.00.00000</t>
  </si>
  <si>
    <t>42.0.00.00000</t>
  </si>
  <si>
    <t>57.0.00.99990</t>
  </si>
  <si>
    <t>60.0.00.00000</t>
  </si>
  <si>
    <t>60.0.00.00590</t>
  </si>
  <si>
    <t>61.0.00.00000</t>
  </si>
  <si>
    <t>61.0.00.00590</t>
  </si>
  <si>
    <t>50.0.00.02010</t>
  </si>
  <si>
    <t>Закупка товаров, работ и услуг для обеспечения государственных (муниципальных) нужд</t>
  </si>
  <si>
    <t>50.0.00.89240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</si>
  <si>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ведомственной целевой программы "Обеспечение осуществления полномочийадминистрации сельского поселения Аган на 2014-2017"</t>
  </si>
  <si>
    <t>52.0.00.00000</t>
  </si>
  <si>
    <t>Резервный фонд с.п Аган в рамках ведомственной целевой программы "Организация бюджетного процесса в сельском поселении Аган на 2014-2017 годы"</t>
  </si>
  <si>
    <t>52.0.00.20610</t>
  </si>
  <si>
    <t xml:space="preserve">МКУ "УОДОМС с.п. Аган" Расходы на обеспечение деятельности учреждения в рамках ведомственной целевой программы "Обеспечение деятельности органов местного самоуправления сельского поселения Аган на 2014-2017 годы" </t>
  </si>
  <si>
    <t>Взносы по обязательному социальному страхованию на выплаты  по оплате труда работников  и иные выплаты работникам казенных учреждений</t>
  </si>
  <si>
    <t>Реализация мероприятий программы в рамках муниципальной программы "Управление муниципальным имуществом на территории сельского поселения Аган на 2014−2017 годы"</t>
  </si>
  <si>
    <t>55.0.00.00590</t>
  </si>
  <si>
    <t>42.0.03.S2300</t>
  </si>
  <si>
    <t>42.0.03.82300</t>
  </si>
  <si>
    <t>муниципальная программа "Развитие транспортной системы на территории сельского поселения Аган на 2014-2016годы"</t>
  </si>
  <si>
    <t>40.0.01.99990</t>
  </si>
  <si>
    <t>40.0.02.99990</t>
  </si>
  <si>
    <t>44.0.01.10000</t>
  </si>
  <si>
    <t>44.0.01.10010</t>
  </si>
  <si>
    <t>43.0.00.00000</t>
  </si>
  <si>
    <t>43.2.00.00000</t>
  </si>
  <si>
    <t>Реализация мероприятий программы в рамках муниципальной программы "Развитие жилищно-коммунального хозяйства на территории сельского поселения Аган на 2014-2017годы"</t>
  </si>
  <si>
    <t>Реализация мероприятий подпрограммы "Повышение энергоэффективности" в рамках МП "Развитие жилищно-коммунального хозяйства на территории сельского поселения Аган на 2014-2017годы"</t>
  </si>
  <si>
    <t>Расходы на обеспечение деятельности учреждения в рамках ВЦП "Развитие физической культуры и спорта в сельском поселении Аган на 2014–2017 годы"</t>
  </si>
  <si>
    <t>Увеличение прочих остатков денежных средств бюджета сельского  поселения</t>
  </si>
  <si>
    <t>Уменьшение прочих остатков  средств бюджета сельского  поселения</t>
  </si>
  <si>
    <t>Взносы по обязательному социальному страхованию на выплаты денежного содержания   и иные выплаты работникам государственных (муниципальных) органов</t>
  </si>
  <si>
    <t>129</t>
  </si>
  <si>
    <t xml:space="preserve">Функционирование исполнительных органов местного самоуправления в рамках ВЦП  "Обеспечение осуществления полномочий администрации сельского поселения Аган на 2014-2017 годы" </t>
  </si>
  <si>
    <t xml:space="preserve">Расходы на пенсионное обеспечение в рамках ВЦП  "Обеспечение осуществления полномочий администрации сельского поселения Аган на 2014-2017 годы" </t>
  </si>
  <si>
    <t>Расходы  на обеспечение деятельности учреждения (МКУ "УОДОМС с.п.Аган") в рамках  ВЦП "Обеспечение деятельности органов местного самоуправления сельского поселения Аган на 2014-2017 годы"</t>
  </si>
  <si>
    <t>119</t>
  </si>
  <si>
    <t>Ведомственная целевая программа "Развитие культуры в  сельском поселении Аган на 2014-2017 годы"</t>
  </si>
  <si>
    <t>Расходы  на обеспечение деятельности учреждения (МКУ "КСЦ с.п.Аган",культура) в рамках  ВЦП "Развитие культуры в  сельском поселении Аган на 2014-2017 годы"</t>
  </si>
  <si>
    <t>Расходы  на обеспечение деятельности учреждения (МКУ "КСЦ с.п.Аган",кинемотография) в рамках  ВЦП "Развитие культуры в  сельском поселении Аган на 2014-2017 годы"</t>
  </si>
  <si>
    <t>Ведомственная целевая программа "Развитие  физической культуры и спорта в  сельском поселении Аган на 2014-2017 годы"</t>
  </si>
  <si>
    <t>Расходы  на обеспечение деятельности учреждения  в рамках  ВЦП "Развитие физической культуры и спорта в  сельском поселении Аган на 2014-2017 годы"</t>
  </si>
  <si>
    <t>Взносы по обязательному социальному  страхованию на выплаты денежного содержания и иные выплаты работникам  государственных( муниципальных органов)</t>
  </si>
  <si>
    <t>Взносы по обязательному социальному страхованию на выплаты денежного содержания   и иные выплаты работникам казенных учреждений</t>
  </si>
  <si>
    <t>52.0.0.00000</t>
  </si>
  <si>
    <t>Резервный фонд с.п.Аган в рамках ведомственной целевой программы "Организация  бюджетного  процесса в сельском поселении Аган на 2014-2017 годы"</t>
  </si>
  <si>
    <t>54.0.00.0000</t>
  </si>
  <si>
    <t>Взносы по обязательному социальному  страхованию на выплаты денежного содержания и иные выплаты работникам  казенных учреждений</t>
  </si>
  <si>
    <t>Уплата прочих  налогов, сборов</t>
  </si>
  <si>
    <t>Расходы на выплаты персоналу в целях обеспечения выполнения функций государственными (муниципальными) органами</t>
  </si>
  <si>
    <t>ведомственная  целевая программв " Защита населения и территорий от чрезвычайных ситуаций, обеспечение пожарной безопасности в сельском поселении Аган на 2014−2017 годы"</t>
  </si>
  <si>
    <t>Реализация мероприятий  в рамках  муниципальной программы "Управление муниципальным имуществом на территории  сельского поселения Аган на 2014-2017 годы"</t>
  </si>
  <si>
    <t>Приложение№ 8</t>
  </si>
  <si>
    <t>57.0.00.00000</t>
  </si>
  <si>
    <t>57.0.00.89020</t>
  </si>
  <si>
    <t>42.0.01.82300</t>
  </si>
  <si>
    <t>42.0.01.S2300</t>
  </si>
  <si>
    <t>44.0.02.99990</t>
  </si>
  <si>
    <t>иные межбюджетные трансферты для создания условий для деятельности народных дружин в рамках муниципальной программы "Профилактика правонарушений в сфере  общественного порядка в сельском поселении Аган на 2014-2017 годы"</t>
  </si>
  <si>
    <t>Софинансирование в рамках основного мероприятия "Создание условий для профилактики правонарушений   в сфере общественного порядка, безопасности дорожного движения, незаконного оборота и злоупотребления наркотиками" муниципальной программы "Профилактика правонарушений в сфере  общественного порядка в сельском поселении Аган на 2014-2017 годы"</t>
  </si>
  <si>
    <t>43.2.01.99990</t>
  </si>
  <si>
    <t>43.0.0.00000</t>
  </si>
  <si>
    <t>43.1.01.99990</t>
  </si>
  <si>
    <t>43.1.01.00000</t>
  </si>
  <si>
    <t>44.0.01.99990</t>
  </si>
  <si>
    <t>44.0.02.00000</t>
  </si>
  <si>
    <t>Таблица 2</t>
  </si>
  <si>
    <t>от 28.12.2015 №30</t>
  </si>
  <si>
    <t>от 28.12.2015  №30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</si>
</sst>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;[Red]\-#,##0.00;0.00"/>
    <numFmt numFmtId="173" formatCode="000"/>
    <numFmt numFmtId="174" formatCode="0000000"/>
    <numFmt numFmtId="175" formatCode="00"/>
    <numFmt numFmtId="176" formatCode="#,##0.00_ ;[Red]\-#,##0.0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"/>
    <numFmt numFmtId="189" formatCode="0000"/>
    <numFmt numFmtId="190" formatCode="0.0"/>
    <numFmt numFmtId="191" formatCode="#,##0.0_ ;[Red]\-#,##0.0\ "/>
    <numFmt numFmtId="192" formatCode="00\.0\.0000"/>
    <numFmt numFmtId="193" formatCode="#,##0.000_ ;[Red]\-#,##0.000\ "/>
    <numFmt numFmtId="194" formatCode="#,##0.0000_ ;[Red]\-#,##0.0000\ "/>
    <numFmt numFmtId="195" formatCode="#,##0.00000_ ;[Red]\-#,##0.00000\ "/>
    <numFmt numFmtId="196" formatCode="#,##0.0_);[Red]\(#,##0.0\)"/>
    <numFmt numFmtId="197" formatCode="#,##0.0;[Red]\-#,##0.0"/>
    <numFmt numFmtId="198" formatCode="#,##0.0;[Red]#,##0.0"/>
    <numFmt numFmtId="199" formatCode="000.0"/>
    <numFmt numFmtId="200" formatCode="0.00000"/>
    <numFmt numFmtId="201" formatCode="0.0000"/>
    <numFmt numFmtId="202" formatCode="0.000"/>
    <numFmt numFmtId="203" formatCode="0.000000"/>
    <numFmt numFmtId="204" formatCode="000.00"/>
    <numFmt numFmtId="205" formatCode="000.000"/>
    <numFmt numFmtId="206" formatCode="000.0000"/>
    <numFmt numFmtId="207" formatCode="000.00000"/>
    <numFmt numFmtId="208" formatCode="000.000000"/>
  </numFmts>
  <fonts count="80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b/>
      <sz val="11"/>
      <name val="Times New Roman"/>
      <family val="1"/>
    </font>
    <font>
      <b/>
      <sz val="15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63"/>
      <name val="Times New Roman"/>
      <family val="1"/>
    </font>
    <font>
      <sz val="28"/>
      <color indexed="8"/>
      <name val="Times New Roman"/>
      <family val="1"/>
    </font>
    <font>
      <sz val="20"/>
      <color indexed="8"/>
      <name val="Times New Roman"/>
      <family val="1"/>
    </font>
    <font>
      <sz val="8"/>
      <color indexed="8"/>
      <name val="Arial"/>
      <family val="2"/>
    </font>
    <font>
      <sz val="14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thin"/>
      <bottom style="thin"/>
    </border>
  </borders>
  <cellStyleXfs count="68"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38" fillId="0" borderId="0" applyNumberForma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344">
    <xf numFmtId="0" fontId="0" fillId="0" borderId="0" xfId="0" applyFont="1" applyAlignment="1">
      <alignment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0" fontId="6" fillId="33" borderId="0" xfId="54" applyFont="1" applyFill="1" applyAlignment="1" applyProtection="1">
      <alignment horizontal="right"/>
      <protection hidden="1"/>
    </xf>
    <xf numFmtId="0" fontId="2" fillId="33" borderId="0" xfId="53" applyFill="1">
      <alignment/>
      <protection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/>
    </xf>
    <xf numFmtId="4" fontId="0" fillId="33" borderId="0" xfId="0" applyNumberFormat="1" applyFill="1" applyAlignment="1">
      <alignment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7" fillId="33" borderId="0" xfId="54" applyFont="1" applyFill="1" applyAlignment="1" applyProtection="1">
      <alignment horizontal="left" vertical="top"/>
      <protection hidden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188" fontId="12" fillId="0" borderId="10" xfId="0" applyNumberFormat="1" applyFont="1" applyFill="1" applyBorder="1" applyAlignment="1">
      <alignment/>
    </xf>
    <xf numFmtId="0" fontId="12" fillId="0" borderId="11" xfId="0" applyFont="1" applyFill="1" applyBorder="1" applyAlignment="1">
      <alignment wrapText="1"/>
    </xf>
    <xf numFmtId="173" fontId="9" fillId="0" borderId="10" xfId="53" applyNumberFormat="1" applyFont="1" applyFill="1" applyBorder="1" applyAlignment="1" applyProtection="1">
      <alignment horizontal="center" wrapText="1"/>
      <protection hidden="1"/>
    </xf>
    <xf numFmtId="0" fontId="9" fillId="0" borderId="11" xfId="0" applyFont="1" applyFill="1" applyBorder="1" applyAlignment="1">
      <alignment wrapText="1"/>
    </xf>
    <xf numFmtId="188" fontId="9" fillId="0" borderId="10" xfId="0" applyNumberFormat="1" applyFont="1" applyFill="1" applyBorder="1" applyAlignment="1">
      <alignment/>
    </xf>
    <xf numFmtId="49" fontId="9" fillId="0" borderId="10" xfId="57" applyNumberFormat="1" applyFont="1" applyFill="1" applyBorder="1" applyAlignment="1" applyProtection="1">
      <alignment horizontal="center" wrapText="1"/>
      <protection hidden="1"/>
    </xf>
    <xf numFmtId="0" fontId="9" fillId="0" borderId="11" xfId="57" applyNumberFormat="1" applyFont="1" applyFill="1" applyBorder="1" applyAlignment="1" applyProtection="1">
      <alignment wrapText="1"/>
      <protection hidden="1"/>
    </xf>
    <xf numFmtId="49" fontId="12" fillId="0" borderId="10" xfId="57" applyNumberFormat="1" applyFont="1" applyFill="1" applyBorder="1" applyAlignment="1" applyProtection="1">
      <alignment horizontal="center" wrapText="1"/>
      <protection hidden="1"/>
    </xf>
    <xf numFmtId="0" fontId="12" fillId="0" borderId="11" xfId="57" applyNumberFormat="1" applyFont="1" applyFill="1" applyBorder="1" applyAlignment="1" applyProtection="1">
      <alignment wrapText="1"/>
      <protection hidden="1"/>
    </xf>
    <xf numFmtId="49" fontId="9" fillId="0" borderId="10" xfId="57" applyNumberFormat="1" applyFont="1" applyFill="1" applyBorder="1" applyAlignment="1" applyProtection="1">
      <alignment horizontal="center" wrapText="1"/>
      <protection hidden="1"/>
    </xf>
    <xf numFmtId="0" fontId="9" fillId="0" borderId="10" xfId="57" applyNumberFormat="1" applyFont="1" applyFill="1" applyBorder="1" applyAlignment="1" applyProtection="1">
      <alignment wrapText="1"/>
      <protection hidden="1"/>
    </xf>
    <xf numFmtId="0" fontId="9" fillId="0" borderId="0" xfId="53" applyFont="1" applyAlignment="1" applyProtection="1">
      <alignment wrapText="1"/>
      <protection hidden="1"/>
    </xf>
    <xf numFmtId="0" fontId="9" fillId="0" borderId="0" xfId="53" applyFont="1" applyAlignment="1" applyProtection="1">
      <alignment horizontal="left" wrapText="1"/>
      <protection hidden="1"/>
    </xf>
    <xf numFmtId="0" fontId="14" fillId="0" borderId="0" xfId="53" applyFont="1" applyAlignment="1" applyProtection="1">
      <alignment horizontal="left"/>
      <protection hidden="1"/>
    </xf>
    <xf numFmtId="0" fontId="9" fillId="0" borderId="0" xfId="53" applyFont="1">
      <alignment/>
      <protection/>
    </xf>
    <xf numFmtId="0" fontId="14" fillId="0" borderId="0" xfId="53" applyFont="1" applyAlignment="1" applyProtection="1">
      <alignment horizontal="right"/>
      <protection hidden="1"/>
    </xf>
    <xf numFmtId="0" fontId="9" fillId="0" borderId="0" xfId="53" applyFont="1" applyAlignment="1" applyProtection="1">
      <alignment vertical="center" wrapText="1"/>
      <protection hidden="1"/>
    </xf>
    <xf numFmtId="0" fontId="9" fillId="0" borderId="0" xfId="53" applyFont="1" applyAlignment="1" applyProtection="1">
      <alignment horizontal="left" vertical="center" wrapText="1"/>
      <protection hidden="1"/>
    </xf>
    <xf numFmtId="0" fontId="9" fillId="0" borderId="0" xfId="53" applyFont="1" applyProtection="1">
      <alignment/>
      <protection hidden="1"/>
    </xf>
    <xf numFmtId="0" fontId="15" fillId="0" borderId="12" xfId="53" applyFont="1" applyBorder="1" applyAlignment="1" applyProtection="1">
      <alignment horizontal="center" wrapText="1"/>
      <protection hidden="1"/>
    </xf>
    <xf numFmtId="0" fontId="16" fillId="0" borderId="12" xfId="53" applyFont="1" applyBorder="1" applyAlignment="1" applyProtection="1">
      <alignment horizontal="center" wrapText="1"/>
      <protection hidden="1"/>
    </xf>
    <xf numFmtId="0" fontId="17" fillId="0" borderId="10" xfId="53" applyNumberFormat="1" applyFont="1" applyFill="1" applyBorder="1" applyAlignment="1" applyProtection="1">
      <alignment horizontal="center" vertical="center" wrapText="1"/>
      <protection hidden="1"/>
    </xf>
    <xf numFmtId="11" fontId="17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Alignment="1">
      <alignment/>
    </xf>
    <xf numFmtId="0" fontId="26" fillId="0" borderId="0" xfId="0" applyFont="1" applyAlignment="1">
      <alignment horizontal="right"/>
    </xf>
    <xf numFmtId="0" fontId="26" fillId="0" borderId="10" xfId="0" applyFont="1" applyBorder="1" applyAlignment="1">
      <alignment horizontal="justify" wrapText="1"/>
    </xf>
    <xf numFmtId="0" fontId="26" fillId="0" borderId="10" xfId="0" applyFont="1" applyBorder="1" applyAlignment="1">
      <alignment vertical="top" wrapText="1"/>
    </xf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 horizontal="justify" wrapText="1"/>
    </xf>
    <xf numFmtId="49" fontId="27" fillId="0" borderId="0" xfId="0" applyNumberFormat="1" applyFont="1" applyAlignment="1">
      <alignment/>
    </xf>
    <xf numFmtId="0" fontId="27" fillId="0" borderId="0" xfId="0" applyFont="1" applyAlignment="1">
      <alignment wrapText="1"/>
    </xf>
    <xf numFmtId="0" fontId="27" fillId="0" borderId="0" xfId="0" applyFont="1" applyAlignment="1">
      <alignment/>
    </xf>
    <xf numFmtId="0" fontId="10" fillId="0" borderId="0" xfId="0" applyFont="1" applyFill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0" fontId="27" fillId="0" borderId="10" xfId="0" applyFont="1" applyBorder="1" applyAlignment="1">
      <alignment horizontal="center"/>
    </xf>
    <xf numFmtId="49" fontId="27" fillId="0" borderId="13" xfId="0" applyNumberFormat="1" applyFont="1" applyBorder="1" applyAlignment="1">
      <alignment/>
    </xf>
    <xf numFmtId="0" fontId="28" fillId="0" borderId="10" xfId="0" applyFont="1" applyBorder="1" applyAlignment="1">
      <alignment wrapText="1"/>
    </xf>
    <xf numFmtId="190" fontId="28" fillId="0" borderId="10" xfId="0" applyNumberFormat="1" applyFont="1" applyBorder="1" applyAlignment="1">
      <alignment/>
    </xf>
    <xf numFmtId="49" fontId="28" fillId="0" borderId="10" xfId="0" applyNumberFormat="1" applyFont="1" applyBorder="1" applyAlignment="1">
      <alignment/>
    </xf>
    <xf numFmtId="49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 wrapText="1"/>
    </xf>
    <xf numFmtId="190" fontId="29" fillId="0" borderId="10" xfId="0" applyNumberFormat="1" applyFont="1" applyBorder="1" applyAlignment="1">
      <alignment/>
    </xf>
    <xf numFmtId="49" fontId="27" fillId="0" borderId="10" xfId="0" applyNumberFormat="1" applyFont="1" applyBorder="1" applyAlignment="1">
      <alignment/>
    </xf>
    <xf numFmtId="0" fontId="27" fillId="0" borderId="10" xfId="0" applyFont="1" applyBorder="1" applyAlignment="1">
      <alignment wrapText="1"/>
    </xf>
    <xf numFmtId="190" fontId="27" fillId="0" borderId="10" xfId="0" applyNumberFormat="1" applyFont="1" applyBorder="1" applyAlignment="1">
      <alignment/>
    </xf>
    <xf numFmtId="188" fontId="26" fillId="0" borderId="10" xfId="0" applyNumberFormat="1" applyFont="1" applyBorder="1" applyAlignment="1">
      <alignment wrapText="1"/>
    </xf>
    <xf numFmtId="188" fontId="26" fillId="0" borderId="10" xfId="0" applyNumberFormat="1" applyFont="1" applyBorder="1" applyAlignment="1">
      <alignment vertical="top" wrapText="1"/>
    </xf>
    <xf numFmtId="188" fontId="19" fillId="0" borderId="10" xfId="0" applyNumberFormat="1" applyFont="1" applyBorder="1" applyAlignment="1">
      <alignment wrapText="1"/>
    </xf>
    <xf numFmtId="191" fontId="17" fillId="34" borderId="10" xfId="53" applyNumberFormat="1" applyFont="1" applyFill="1" applyBorder="1" applyAlignment="1" applyProtection="1">
      <alignment horizontal="center" wrapText="1"/>
      <protection hidden="1"/>
    </xf>
    <xf numFmtId="191" fontId="14" fillId="0" borderId="10" xfId="53" applyNumberFormat="1" applyFont="1" applyFill="1" applyBorder="1" applyAlignment="1" applyProtection="1">
      <alignment horizontal="center" wrapText="1"/>
      <protection hidden="1"/>
    </xf>
    <xf numFmtId="191" fontId="17" fillId="0" borderId="10" xfId="53" applyNumberFormat="1" applyFont="1" applyFill="1" applyBorder="1" applyAlignment="1" applyProtection="1">
      <alignment horizontal="center" wrapText="1"/>
      <protection hidden="1"/>
    </xf>
    <xf numFmtId="191" fontId="14" fillId="33" borderId="10" xfId="53" applyNumberFormat="1" applyFont="1" applyFill="1" applyBorder="1" applyAlignment="1" applyProtection="1">
      <alignment horizontal="center" wrapText="1"/>
      <protection hidden="1"/>
    </xf>
    <xf numFmtId="191" fontId="17" fillId="34" borderId="10" xfId="53" applyNumberFormat="1" applyFont="1" applyFill="1" applyBorder="1" applyAlignment="1" applyProtection="1">
      <alignment horizontal="center"/>
      <protection hidden="1"/>
    </xf>
    <xf numFmtId="0" fontId="18" fillId="0" borderId="1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/>
    </xf>
    <xf numFmtId="0" fontId="15" fillId="0" borderId="12" xfId="53" applyFont="1" applyBorder="1" applyAlignment="1" applyProtection="1">
      <alignment horizontal="right" wrapText="1"/>
      <protection hidden="1"/>
    </xf>
    <xf numFmtId="0" fontId="14" fillId="0" borderId="0" xfId="56" applyFont="1" applyAlignment="1">
      <alignment horizontal="right"/>
      <protection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/>
    </xf>
    <xf numFmtId="188" fontId="30" fillId="0" borderId="10" xfId="0" applyNumberFormat="1" applyFont="1" applyFill="1" applyBorder="1" applyAlignment="1">
      <alignment/>
    </xf>
    <xf numFmtId="188" fontId="30" fillId="0" borderId="15" xfId="0" applyNumberFormat="1" applyFont="1" applyFill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vertical="top" wrapText="1"/>
    </xf>
    <xf numFmtId="0" fontId="26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vertical="top" wrapText="1"/>
    </xf>
    <xf numFmtId="0" fontId="26" fillId="0" borderId="17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6" fillId="0" borderId="18" xfId="0" applyFont="1" applyBorder="1" applyAlignment="1">
      <alignment horizontal="center" vertical="top" wrapText="1"/>
    </xf>
    <xf numFmtId="0" fontId="26" fillId="0" borderId="19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wrapText="1"/>
    </xf>
    <xf numFmtId="0" fontId="31" fillId="0" borderId="0" xfId="0" applyFont="1" applyAlignment="1">
      <alignment wrapText="1"/>
    </xf>
    <xf numFmtId="0" fontId="31" fillId="0" borderId="0" xfId="0" applyFont="1" applyAlignment="1">
      <alignment horizontal="center" wrapText="1"/>
    </xf>
    <xf numFmtId="188" fontId="26" fillId="0" borderId="10" xfId="0" applyNumberFormat="1" applyFont="1" applyFill="1" applyBorder="1" applyAlignment="1">
      <alignment wrapText="1"/>
    </xf>
    <xf numFmtId="49" fontId="26" fillId="0" borderId="0" xfId="0" applyNumberFormat="1" applyFont="1" applyBorder="1" applyAlignment="1">
      <alignment horizontal="center" vertical="top" wrapText="1"/>
    </xf>
    <xf numFmtId="0" fontId="32" fillId="0" borderId="0" xfId="0" applyFont="1" applyBorder="1" applyAlignment="1">
      <alignment vertical="top" wrapText="1"/>
    </xf>
    <xf numFmtId="173" fontId="22" fillId="0" borderId="11" xfId="53" applyNumberFormat="1" applyFont="1" applyFill="1" applyBorder="1" applyAlignment="1" applyProtection="1">
      <alignment horizontal="center" vertical="top" wrapText="1"/>
      <protection hidden="1"/>
    </xf>
    <xf numFmtId="0" fontId="22" fillId="0" borderId="11" xfId="53" applyNumberFormat="1" applyFont="1" applyFill="1" applyBorder="1" applyAlignment="1" applyProtection="1">
      <alignment horizontal="left" vertical="top" wrapText="1"/>
      <protection hidden="1"/>
    </xf>
    <xf numFmtId="0" fontId="22" fillId="0" borderId="10" xfId="53" applyNumberFormat="1" applyFont="1" applyFill="1" applyBorder="1" applyAlignment="1" applyProtection="1">
      <alignment horizontal="left" vertical="top" wrapText="1"/>
      <protection hidden="1"/>
    </xf>
    <xf numFmtId="173" fontId="16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16" fillId="0" borderId="10" xfId="53" applyNumberFormat="1" applyFont="1" applyFill="1" applyBorder="1" applyAlignment="1" applyProtection="1">
      <alignment horizontal="left" vertical="top" wrapText="1"/>
      <protection hidden="1"/>
    </xf>
    <xf numFmtId="0" fontId="9" fillId="0" borderId="0" xfId="53" applyFont="1" applyFill="1" applyAlignment="1" applyProtection="1">
      <alignment/>
      <protection hidden="1"/>
    </xf>
    <xf numFmtId="0" fontId="9" fillId="0" borderId="0" xfId="56" applyFont="1" applyAlignment="1">
      <alignment horizontal="right"/>
      <protection/>
    </xf>
    <xf numFmtId="0" fontId="30" fillId="0" borderId="0" xfId="0" applyFont="1" applyAlignment="1">
      <alignment/>
    </xf>
    <xf numFmtId="175" fontId="9" fillId="0" borderId="0" xfId="53" applyNumberFormat="1" applyFont="1" applyFill="1" applyAlignment="1" applyProtection="1">
      <alignment/>
      <protection hidden="1"/>
    </xf>
    <xf numFmtId="0" fontId="12" fillId="0" borderId="0" xfId="53" applyFont="1" applyAlignment="1">
      <alignment horizontal="center" wrapText="1"/>
      <protection/>
    </xf>
    <xf numFmtId="0" fontId="9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>
      <alignment/>
    </xf>
    <xf numFmtId="173" fontId="12" fillId="0" borderId="0" xfId="53" applyNumberFormat="1" applyFont="1" applyFill="1" applyBorder="1" applyAlignment="1" applyProtection="1">
      <alignment wrapText="1"/>
      <protection hidden="1"/>
    </xf>
    <xf numFmtId="190" fontId="9" fillId="0" borderId="10" xfId="53" applyNumberFormat="1" applyFont="1" applyBorder="1">
      <alignment/>
      <protection/>
    </xf>
    <xf numFmtId="190" fontId="12" fillId="35" borderId="10" xfId="53" applyNumberFormat="1" applyFont="1" applyFill="1" applyBorder="1" applyAlignment="1">
      <alignment horizontal="center" vertical="center"/>
      <protection/>
    </xf>
    <xf numFmtId="190" fontId="12" fillId="0" borderId="10" xfId="53" applyNumberFormat="1" applyFont="1" applyBorder="1">
      <alignment/>
      <protection/>
    </xf>
    <xf numFmtId="199" fontId="17" fillId="35" borderId="10" xfId="53" applyNumberFormat="1" applyFont="1" applyFill="1" applyBorder="1" applyAlignment="1" applyProtection="1">
      <alignment horizontal="center" vertical="center" wrapText="1"/>
      <protection hidden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justify" vertical="top" wrapText="1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49" fontId="26" fillId="0" borderId="10" xfId="0" applyNumberFormat="1" applyFont="1" applyBorder="1" applyAlignment="1">
      <alignment horizontal="center" vertical="top" wrapText="1"/>
    </xf>
    <xf numFmtId="191" fontId="14" fillId="0" borderId="10" xfId="53" applyNumberFormat="1" applyFont="1" applyFill="1" applyBorder="1" applyAlignment="1" applyProtection="1">
      <alignment horizontal="center"/>
      <protection hidden="1"/>
    </xf>
    <xf numFmtId="0" fontId="26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justify" vertical="top" wrapText="1"/>
    </xf>
    <xf numFmtId="49" fontId="26" fillId="0" borderId="0" xfId="0" applyNumberFormat="1" applyFont="1" applyBorder="1" applyAlignment="1">
      <alignment horizontal="center" vertical="top" wrapText="1"/>
    </xf>
    <xf numFmtId="0" fontId="26" fillId="0" borderId="0" xfId="0" applyFont="1" applyFill="1" applyBorder="1" applyAlignment="1">
      <alignment horizontal="justify" vertical="top" wrapText="1"/>
    </xf>
    <xf numFmtId="0" fontId="28" fillId="0" borderId="0" xfId="0" applyFont="1" applyAlignment="1">
      <alignment/>
    </xf>
    <xf numFmtId="0" fontId="19" fillId="0" borderId="10" xfId="0" applyFont="1" applyFill="1" applyBorder="1" applyAlignment="1">
      <alignment horizontal="center" vertical="top" wrapText="1"/>
    </xf>
    <xf numFmtId="0" fontId="33" fillId="0" borderId="0" xfId="0" applyFont="1" applyAlignment="1">
      <alignment/>
    </xf>
    <xf numFmtId="188" fontId="3" fillId="0" borderId="0" xfId="53" applyNumberFormat="1" applyFont="1" applyFill="1" applyBorder="1" applyAlignment="1" applyProtection="1">
      <alignment/>
      <protection hidden="1"/>
    </xf>
    <xf numFmtId="0" fontId="14" fillId="0" borderId="0" xfId="56" applyFont="1" applyFill="1" applyAlignment="1">
      <alignment horizontal="right"/>
      <protection/>
    </xf>
    <xf numFmtId="0" fontId="5" fillId="0" borderId="0" xfId="55" applyFont="1" applyFill="1" applyAlignment="1" applyProtection="1">
      <alignment horizontal="center" wrapText="1"/>
      <protection hidden="1"/>
    </xf>
    <xf numFmtId="0" fontId="16" fillId="0" borderId="0" xfId="55" applyFont="1" applyFill="1" applyAlignment="1" applyProtection="1">
      <alignment horizontal="right"/>
      <protection hidden="1"/>
    </xf>
    <xf numFmtId="0" fontId="3" fillId="0" borderId="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Border="1" applyAlignment="1" applyProtection="1">
      <alignment horizontal="center" vertical="center"/>
      <protection hidden="1"/>
    </xf>
    <xf numFmtId="0" fontId="2" fillId="0" borderId="0" xfId="53" applyNumberFormat="1" applyFont="1" applyFill="1" applyAlignment="1" applyProtection="1">
      <alignment/>
      <protection hidden="1"/>
    </xf>
    <xf numFmtId="188" fontId="17" fillId="0" borderId="10" xfId="0" applyNumberFormat="1" applyFont="1" applyBorder="1" applyAlignment="1">
      <alignment wrapText="1"/>
    </xf>
    <xf numFmtId="188" fontId="23" fillId="0" borderId="0" xfId="53" applyNumberFormat="1" applyFont="1" applyFill="1" applyBorder="1" applyAlignment="1" applyProtection="1">
      <alignment/>
      <protection hidden="1"/>
    </xf>
    <xf numFmtId="0" fontId="34" fillId="0" borderId="0" xfId="0" applyFont="1" applyAlignment="1">
      <alignment/>
    </xf>
    <xf numFmtId="0" fontId="0" fillId="35" borderId="0" xfId="0" applyFill="1" applyAlignment="1">
      <alignment/>
    </xf>
    <xf numFmtId="176" fontId="0" fillId="0" borderId="0" xfId="0" applyNumberFormat="1" applyFill="1" applyAlignment="1">
      <alignment/>
    </xf>
    <xf numFmtId="188" fontId="0" fillId="33" borderId="0" xfId="0" applyNumberFormat="1" applyFill="1" applyAlignment="1">
      <alignment/>
    </xf>
    <xf numFmtId="188" fontId="26" fillId="0" borderId="10" xfId="0" applyNumberFormat="1" applyFont="1" applyBorder="1" applyAlignment="1">
      <alignment horizontal="center" wrapText="1"/>
    </xf>
    <xf numFmtId="188" fontId="26" fillId="0" borderId="10" xfId="0" applyNumberFormat="1" applyFont="1" applyBorder="1" applyAlignment="1">
      <alignment horizontal="center"/>
    </xf>
    <xf numFmtId="0" fontId="16" fillId="0" borderId="11" xfId="53" applyNumberFormat="1" applyFont="1" applyFill="1" applyBorder="1" applyAlignment="1" applyProtection="1">
      <alignment/>
      <protection hidden="1"/>
    </xf>
    <xf numFmtId="173" fontId="22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22" fillId="0" borderId="10" xfId="53" applyNumberFormat="1" applyFont="1" applyFill="1" applyBorder="1" applyAlignment="1" applyProtection="1">
      <alignment horizontal="left" vertical="top" wrapText="1"/>
      <protection hidden="1"/>
    </xf>
    <xf numFmtId="0" fontId="16" fillId="0" borderId="0" xfId="53" applyFont="1" applyProtection="1">
      <alignment/>
      <protection hidden="1"/>
    </xf>
    <xf numFmtId="0" fontId="2" fillId="0" borderId="0" xfId="53" applyFont="1" applyProtection="1">
      <alignment/>
      <protection hidden="1"/>
    </xf>
    <xf numFmtId="0" fontId="2" fillId="0" borderId="0" xfId="53" applyFont="1">
      <alignment/>
      <protection/>
    </xf>
    <xf numFmtId="0" fontId="16" fillId="0" borderId="10" xfId="53" applyNumberFormat="1" applyFont="1" applyFill="1" applyBorder="1" applyAlignment="1" applyProtection="1">
      <alignment/>
      <protection hidden="1"/>
    </xf>
    <xf numFmtId="0" fontId="16" fillId="0" borderId="0" xfId="53" applyNumberFormat="1" applyFont="1" applyFill="1" applyBorder="1" applyAlignment="1" applyProtection="1">
      <alignment/>
      <protection hidden="1"/>
    </xf>
    <xf numFmtId="0" fontId="16" fillId="0" borderId="10" xfId="53" applyNumberFormat="1" applyFont="1" applyFill="1" applyBorder="1" applyAlignment="1" applyProtection="1">
      <alignment horizontal="left" vertical="top" wrapText="1"/>
      <protection hidden="1"/>
    </xf>
    <xf numFmtId="173" fontId="16" fillId="0" borderId="10" xfId="53" applyNumberFormat="1" applyFont="1" applyFill="1" applyBorder="1" applyAlignment="1" applyProtection="1">
      <alignment horizontal="center" vertical="top" wrapText="1"/>
      <protection hidden="1"/>
    </xf>
    <xf numFmtId="188" fontId="0" fillId="0" borderId="0" xfId="0" applyNumberFormat="1" applyAlignment="1">
      <alignment/>
    </xf>
    <xf numFmtId="205" fontId="12" fillId="0" borderId="0" xfId="53" applyNumberFormat="1" applyFont="1" applyFill="1" applyBorder="1" applyAlignment="1" applyProtection="1">
      <alignment wrapText="1"/>
      <protection hidden="1"/>
    </xf>
    <xf numFmtId="0" fontId="26" fillId="0" borderId="16" xfId="0" applyFont="1" applyBorder="1" applyAlignment="1">
      <alignment horizontal="justify" vertical="top" wrapText="1"/>
    </xf>
    <xf numFmtId="0" fontId="0" fillId="36" borderId="0" xfId="0" applyFill="1" applyAlignment="1">
      <alignment/>
    </xf>
    <xf numFmtId="0" fontId="77" fillId="36" borderId="0" xfId="0" applyFont="1" applyFill="1" applyAlignment="1">
      <alignment/>
    </xf>
    <xf numFmtId="0" fontId="14" fillId="0" borderId="10" xfId="0" applyFont="1" applyFill="1" applyBorder="1" applyAlignment="1">
      <alignment vertical="center" wrapText="1"/>
    </xf>
    <xf numFmtId="0" fontId="27" fillId="0" borderId="16" xfId="0" applyFont="1" applyBorder="1" applyAlignment="1">
      <alignment vertical="top" wrapText="1"/>
    </xf>
    <xf numFmtId="175" fontId="4" fillId="36" borderId="10" xfId="53" applyNumberFormat="1" applyFont="1" applyFill="1" applyBorder="1" applyAlignment="1" applyProtection="1">
      <alignment/>
      <protection hidden="1"/>
    </xf>
    <xf numFmtId="173" fontId="4" fillId="36" borderId="10" xfId="53" applyNumberFormat="1" applyFont="1" applyFill="1" applyBorder="1" applyAlignment="1" applyProtection="1">
      <alignment/>
      <protection hidden="1"/>
    </xf>
    <xf numFmtId="188" fontId="4" fillId="36" borderId="10" xfId="53" applyNumberFormat="1" applyFont="1" applyFill="1" applyBorder="1" applyAlignment="1" applyProtection="1">
      <alignment/>
      <protection hidden="1"/>
    </xf>
    <xf numFmtId="175" fontId="4" fillId="36" borderId="10" xfId="53" applyNumberFormat="1" applyFont="1" applyFill="1" applyBorder="1" applyAlignment="1" applyProtection="1">
      <alignment horizontal="center"/>
      <protection hidden="1"/>
    </xf>
    <xf numFmtId="174" fontId="4" fillId="36" borderId="10" xfId="53" applyNumberFormat="1" applyFont="1" applyFill="1" applyBorder="1" applyAlignment="1" applyProtection="1">
      <alignment horizontal="center"/>
      <protection hidden="1"/>
    </xf>
    <xf numFmtId="173" fontId="4" fillId="36" borderId="10" xfId="53" applyNumberFormat="1" applyFont="1" applyFill="1" applyBorder="1" applyAlignment="1" applyProtection="1">
      <alignment horizontal="center"/>
      <protection hidden="1"/>
    </xf>
    <xf numFmtId="174" fontId="3" fillId="36" borderId="10" xfId="53" applyNumberFormat="1" applyFont="1" applyFill="1" applyBorder="1" applyAlignment="1" applyProtection="1">
      <alignment horizontal="center"/>
      <protection hidden="1"/>
    </xf>
    <xf numFmtId="188" fontId="4" fillId="36" borderId="10" xfId="53" applyNumberFormat="1" applyFont="1" applyFill="1" applyBorder="1" applyAlignment="1" applyProtection="1">
      <alignment horizontal="center"/>
      <protection hidden="1"/>
    </xf>
    <xf numFmtId="175" fontId="4" fillId="36" borderId="10" xfId="53" applyNumberFormat="1" applyFont="1" applyFill="1" applyBorder="1" applyAlignment="1" applyProtection="1">
      <alignment horizontal="center" vertical="center" wrapText="1"/>
      <protection hidden="1"/>
    </xf>
    <xf numFmtId="174" fontId="4" fillId="36" borderId="10" xfId="53" applyNumberFormat="1" applyFont="1" applyFill="1" applyBorder="1" applyAlignment="1" applyProtection="1">
      <alignment horizontal="center" vertical="center" wrapText="1"/>
      <protection hidden="1"/>
    </xf>
    <xf numFmtId="173" fontId="4" fillId="36" borderId="10" xfId="53" applyNumberFormat="1" applyFont="1" applyFill="1" applyBorder="1" applyAlignment="1" applyProtection="1">
      <alignment horizontal="center" vertical="center" wrapText="1"/>
      <protection hidden="1"/>
    </xf>
    <xf numFmtId="188" fontId="4" fillId="36" borderId="10" xfId="53" applyNumberFormat="1" applyFont="1" applyFill="1" applyBorder="1" applyAlignment="1" applyProtection="1">
      <alignment horizontal="center" vertical="center" wrapText="1"/>
      <protection hidden="1"/>
    </xf>
    <xf numFmtId="173" fontId="3" fillId="36" borderId="10" xfId="53" applyNumberFormat="1" applyFont="1" applyFill="1" applyBorder="1" applyAlignment="1" applyProtection="1">
      <alignment wrapText="1"/>
      <protection hidden="1"/>
    </xf>
    <xf numFmtId="173" fontId="3" fillId="36" borderId="10" xfId="53" applyNumberFormat="1" applyFont="1" applyFill="1" applyBorder="1" applyAlignment="1" applyProtection="1">
      <alignment/>
      <protection hidden="1"/>
    </xf>
    <xf numFmtId="175" fontId="3" fillId="36" borderId="10" xfId="53" applyNumberFormat="1" applyFont="1" applyFill="1" applyBorder="1" applyAlignment="1" applyProtection="1">
      <alignment horizontal="center"/>
      <protection hidden="1"/>
    </xf>
    <xf numFmtId="173" fontId="3" fillId="36" borderId="10" xfId="53" applyNumberFormat="1" applyFont="1" applyFill="1" applyBorder="1" applyAlignment="1" applyProtection="1">
      <alignment horizontal="center"/>
      <protection hidden="1"/>
    </xf>
    <xf numFmtId="49" fontId="4" fillId="36" borderId="10" xfId="53" applyNumberFormat="1" applyFont="1" applyFill="1" applyBorder="1" applyAlignment="1" applyProtection="1">
      <alignment horizontal="center"/>
      <protection hidden="1"/>
    </xf>
    <xf numFmtId="49" fontId="18" fillId="36" borderId="10" xfId="0" applyNumberFormat="1" applyFont="1" applyFill="1" applyBorder="1" applyAlignment="1">
      <alignment horizontal="center" vertical="center"/>
    </xf>
    <xf numFmtId="49" fontId="30" fillId="36" borderId="10" xfId="0" applyNumberFormat="1" applyFont="1" applyFill="1" applyBorder="1" applyAlignment="1">
      <alignment horizontal="center" vertical="center"/>
    </xf>
    <xf numFmtId="199" fontId="14" fillId="36" borderId="10" xfId="53" applyNumberFormat="1" applyFont="1" applyFill="1" applyBorder="1" applyAlignment="1" applyProtection="1">
      <alignment horizontal="right" vertical="center" wrapText="1"/>
      <protection hidden="1"/>
    </xf>
    <xf numFmtId="199" fontId="17" fillId="36" borderId="10" xfId="53" applyNumberFormat="1" applyFont="1" applyFill="1" applyBorder="1" applyAlignment="1" applyProtection="1">
      <alignment horizontal="right" vertical="center" wrapText="1"/>
      <protection hidden="1"/>
    </xf>
    <xf numFmtId="0" fontId="18" fillId="36" borderId="10" xfId="0" applyNumberFormat="1" applyFont="1" applyFill="1" applyBorder="1" applyAlignment="1">
      <alignment horizontal="left" vertical="center" wrapText="1"/>
    </xf>
    <xf numFmtId="49" fontId="18" fillId="36" borderId="13" xfId="0" applyNumberFormat="1" applyFont="1" applyFill="1" applyBorder="1" applyAlignment="1">
      <alignment horizontal="center" vertical="center"/>
    </xf>
    <xf numFmtId="49" fontId="30" fillId="36" borderId="13" xfId="0" applyNumberFormat="1" applyFont="1" applyFill="1" applyBorder="1" applyAlignment="1">
      <alignment horizontal="center" vertical="center"/>
    </xf>
    <xf numFmtId="0" fontId="12" fillId="0" borderId="0" xfId="53" applyFont="1">
      <alignment/>
      <protection/>
    </xf>
    <xf numFmtId="0" fontId="18" fillId="0" borderId="0" xfId="0" applyFont="1" applyAlignment="1">
      <alignment/>
    </xf>
    <xf numFmtId="174" fontId="4" fillId="36" borderId="10" xfId="53" applyNumberFormat="1" applyFont="1" applyFill="1" applyBorder="1" applyAlignment="1" applyProtection="1">
      <alignment horizontal="right"/>
      <protection hidden="1"/>
    </xf>
    <xf numFmtId="173" fontId="4" fillId="36" borderId="10" xfId="53" applyNumberFormat="1" applyFont="1" applyFill="1" applyBorder="1" applyAlignment="1" applyProtection="1">
      <alignment horizontal="right"/>
      <protection hidden="1"/>
    </xf>
    <xf numFmtId="173" fontId="4" fillId="36" borderId="20" xfId="53" applyNumberFormat="1" applyFont="1" applyFill="1" applyBorder="1" applyAlignment="1" applyProtection="1">
      <alignment wrapText="1"/>
      <protection hidden="1"/>
    </xf>
    <xf numFmtId="173" fontId="4" fillId="36" borderId="21" xfId="53" applyNumberFormat="1" applyFont="1" applyFill="1" applyBorder="1" applyAlignment="1" applyProtection="1">
      <alignment wrapText="1"/>
      <protection hidden="1"/>
    </xf>
    <xf numFmtId="176" fontId="0" fillId="36" borderId="0" xfId="0" applyNumberFormat="1" applyFill="1" applyAlignment="1">
      <alignment/>
    </xf>
    <xf numFmtId="49" fontId="4" fillId="36" borderId="10" xfId="53" applyNumberFormat="1" applyFont="1" applyFill="1" applyBorder="1" applyAlignment="1" applyProtection="1">
      <alignment horizontal="right"/>
      <protection hidden="1"/>
    </xf>
    <xf numFmtId="173" fontId="4" fillId="36" borderId="10" xfId="53" applyNumberFormat="1" applyFont="1" applyFill="1" applyBorder="1" applyAlignment="1" applyProtection="1">
      <alignment wrapText="1"/>
      <protection hidden="1"/>
    </xf>
    <xf numFmtId="0" fontId="35" fillId="36" borderId="10" xfId="0" applyFont="1" applyFill="1" applyBorder="1" applyAlignment="1">
      <alignment wrapText="1"/>
    </xf>
    <xf numFmtId="0" fontId="17" fillId="36" borderId="10" xfId="53" applyNumberFormat="1" applyFont="1" applyFill="1" applyBorder="1" applyAlignment="1" applyProtection="1">
      <alignment wrapText="1"/>
      <protection hidden="1"/>
    </xf>
    <xf numFmtId="175" fontId="17" fillId="36" borderId="10" xfId="53" applyNumberFormat="1" applyFont="1" applyFill="1" applyBorder="1" applyAlignment="1" applyProtection="1">
      <alignment horizontal="center" wrapText="1"/>
      <protection hidden="1"/>
    </xf>
    <xf numFmtId="191" fontId="17" fillId="36" borderId="10" xfId="53" applyNumberFormat="1" applyFont="1" applyFill="1" applyBorder="1" applyAlignment="1" applyProtection="1">
      <alignment horizontal="center"/>
      <protection hidden="1"/>
    </xf>
    <xf numFmtId="175" fontId="17" fillId="36" borderId="10" xfId="53" applyNumberFormat="1" applyFont="1" applyFill="1" applyBorder="1" applyAlignment="1" applyProtection="1">
      <alignment horizontal="center"/>
      <protection hidden="1"/>
    </xf>
    <xf numFmtId="191" fontId="17" fillId="36" borderId="10" xfId="53" applyNumberFormat="1" applyFont="1" applyFill="1" applyBorder="1" applyAlignment="1" applyProtection="1">
      <alignment horizontal="center" wrapText="1"/>
      <protection hidden="1"/>
    </xf>
    <xf numFmtId="189" fontId="14" fillId="36" borderId="10" xfId="53" applyNumberFormat="1" applyFont="1" applyFill="1" applyBorder="1" applyAlignment="1" applyProtection="1">
      <alignment wrapText="1"/>
      <protection hidden="1"/>
    </xf>
    <xf numFmtId="175" fontId="14" fillId="36" borderId="10" xfId="53" applyNumberFormat="1" applyFont="1" applyFill="1" applyBorder="1" applyAlignment="1" applyProtection="1">
      <alignment horizontal="center" wrapText="1"/>
      <protection hidden="1"/>
    </xf>
    <xf numFmtId="191" fontId="14" fillId="36" borderId="10" xfId="53" applyNumberFormat="1" applyFont="1" applyFill="1" applyBorder="1" applyAlignment="1" applyProtection="1">
      <alignment horizontal="center" wrapText="1"/>
      <protection hidden="1"/>
    </xf>
    <xf numFmtId="0" fontId="14" fillId="36" borderId="10" xfId="53" applyNumberFormat="1" applyFont="1" applyFill="1" applyBorder="1" applyAlignment="1" applyProtection="1">
      <alignment wrapText="1"/>
      <protection hidden="1"/>
    </xf>
    <xf numFmtId="175" fontId="14" fillId="36" borderId="10" xfId="53" applyNumberFormat="1" applyFont="1" applyFill="1" applyBorder="1" applyAlignment="1" applyProtection="1">
      <alignment horizontal="center"/>
      <protection hidden="1"/>
    </xf>
    <xf numFmtId="0" fontId="0" fillId="36" borderId="0" xfId="0" applyFill="1" applyAlignment="1">
      <alignment wrapText="1"/>
    </xf>
    <xf numFmtId="0" fontId="6" fillId="36" borderId="0" xfId="54" applyFont="1" applyFill="1" applyAlignment="1" applyProtection="1">
      <alignment horizontal="right"/>
      <protection hidden="1"/>
    </xf>
    <xf numFmtId="0" fontId="2" fillId="36" borderId="0" xfId="53" applyFill="1">
      <alignment/>
      <protection/>
    </xf>
    <xf numFmtId="0" fontId="7" fillId="36" borderId="0" xfId="53" applyFont="1" applyFill="1" applyAlignment="1">
      <alignment horizontal="left" vertical="top"/>
      <protection/>
    </xf>
    <xf numFmtId="0" fontId="14" fillId="36" borderId="0" xfId="56" applyFont="1" applyFill="1" applyAlignment="1">
      <alignment horizontal="right"/>
      <protection/>
    </xf>
    <xf numFmtId="188" fontId="2" fillId="36" borderId="0" xfId="53" applyNumberFormat="1" applyFill="1">
      <alignment/>
      <protection/>
    </xf>
    <xf numFmtId="0" fontId="2" fillId="36" borderId="0" xfId="53" applyFill="1" applyAlignment="1">
      <alignment horizontal="center"/>
      <protection/>
    </xf>
    <xf numFmtId="0" fontId="3" fillId="36" borderId="0" xfId="55" applyNumberFormat="1" applyFont="1" applyFill="1" applyAlignment="1" applyProtection="1">
      <alignment wrapText="1"/>
      <protection hidden="1"/>
    </xf>
    <xf numFmtId="0" fontId="3" fillId="36" borderId="0" xfId="55" applyNumberFormat="1" applyFont="1" applyFill="1" applyAlignment="1" applyProtection="1">
      <alignment/>
      <protection hidden="1"/>
    </xf>
    <xf numFmtId="0" fontId="2" fillId="36" borderId="0" xfId="55" applyFont="1" applyFill="1" applyProtection="1">
      <alignment/>
      <protection hidden="1"/>
    </xf>
    <xf numFmtId="0" fontId="7" fillId="36" borderId="0" xfId="55" applyFont="1" applyFill="1" applyAlignment="1" applyProtection="1">
      <alignment horizontal="right"/>
      <protection hidden="1"/>
    </xf>
    <xf numFmtId="0" fontId="8" fillId="36" borderId="0" xfId="53" applyFont="1" applyFill="1">
      <alignment/>
      <protection/>
    </xf>
    <xf numFmtId="188" fontId="2" fillId="36" borderId="0" xfId="53" applyNumberFormat="1" applyFill="1" applyAlignment="1">
      <alignment horizontal="center"/>
      <protection/>
    </xf>
    <xf numFmtId="0" fontId="16" fillId="36" borderId="0" xfId="55" applyFont="1" applyFill="1" applyAlignment="1" applyProtection="1">
      <alignment horizontal="right"/>
      <protection hidden="1"/>
    </xf>
    <xf numFmtId="0" fontId="3" fillId="36" borderId="10" xfId="53" applyNumberFormat="1" applyFont="1" applyFill="1" applyBorder="1" applyAlignment="1" applyProtection="1">
      <alignment horizontal="centerContinuous" vertical="center"/>
      <protection hidden="1"/>
    </xf>
    <xf numFmtId="0" fontId="3" fillId="36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6" borderId="22" xfId="53" applyNumberFormat="1" applyFont="1" applyFill="1" applyBorder="1" applyAlignment="1" applyProtection="1">
      <alignment horizontal="center" vertical="center" wrapText="1"/>
      <protection hidden="1"/>
    </xf>
    <xf numFmtId="0" fontId="3" fillId="36" borderId="10" xfId="53" applyNumberFormat="1" applyFont="1" applyFill="1" applyBorder="1" applyAlignment="1" applyProtection="1">
      <alignment horizontal="centerContinuous" wrapText="1"/>
      <protection hidden="1"/>
    </xf>
    <xf numFmtId="0" fontId="3" fillId="36" borderId="10" xfId="53" applyNumberFormat="1" applyFont="1" applyFill="1" applyBorder="1" applyAlignment="1" applyProtection="1">
      <alignment horizontal="centerContinuous"/>
      <protection hidden="1"/>
    </xf>
    <xf numFmtId="0" fontId="3" fillId="36" borderId="10" xfId="53" applyNumberFormat="1" applyFont="1" applyFill="1" applyBorder="1" applyAlignment="1" applyProtection="1">
      <alignment horizontal="center"/>
      <protection hidden="1"/>
    </xf>
    <xf numFmtId="0" fontId="3" fillId="36" borderId="23" xfId="53" applyNumberFormat="1" applyFont="1" applyFill="1" applyBorder="1" applyAlignment="1" applyProtection="1">
      <alignment horizontal="center"/>
      <protection hidden="1"/>
    </xf>
    <xf numFmtId="0" fontId="3" fillId="36" borderId="10" xfId="53" applyNumberFormat="1" applyFont="1" applyFill="1" applyBorder="1" applyAlignment="1" applyProtection="1">
      <alignment horizontal="center" vertical="center"/>
      <protection hidden="1"/>
    </xf>
    <xf numFmtId="174" fontId="3" fillId="36" borderId="24" xfId="53" applyNumberFormat="1" applyFont="1" applyFill="1" applyBorder="1" applyAlignment="1" applyProtection="1">
      <alignment horizontal="center"/>
      <protection hidden="1"/>
    </xf>
    <xf numFmtId="188" fontId="3" fillId="36" borderId="10" xfId="53" applyNumberFormat="1" applyFont="1" applyFill="1" applyBorder="1" applyAlignment="1" applyProtection="1">
      <alignment horizontal="center"/>
      <protection hidden="1"/>
    </xf>
    <xf numFmtId="188" fontId="3" fillId="36" borderId="10" xfId="53" applyNumberFormat="1" applyFont="1" applyFill="1" applyBorder="1" applyAlignment="1" applyProtection="1">
      <alignment/>
      <protection hidden="1"/>
    </xf>
    <xf numFmtId="49" fontId="40" fillId="36" borderId="10" xfId="0" applyNumberFormat="1" applyFont="1" applyFill="1" applyBorder="1" applyAlignment="1">
      <alignment horizontal="center" wrapText="1"/>
    </xf>
    <xf numFmtId="175" fontId="3" fillId="36" borderId="10" xfId="53" applyNumberFormat="1" applyFont="1" applyFill="1" applyBorder="1" applyAlignment="1" applyProtection="1">
      <alignment horizontal="center" wrapText="1"/>
      <protection hidden="1"/>
    </xf>
    <xf numFmtId="173" fontId="3" fillId="36" borderId="10" xfId="53" applyNumberFormat="1" applyFont="1" applyFill="1" applyBorder="1" applyAlignment="1" applyProtection="1">
      <alignment horizontal="center" wrapText="1"/>
      <protection hidden="1"/>
    </xf>
    <xf numFmtId="188" fontId="3" fillId="36" borderId="10" xfId="53" applyNumberFormat="1" applyFont="1" applyFill="1" applyBorder="1" applyAlignment="1" applyProtection="1">
      <alignment horizontal="center" wrapText="1"/>
      <protection hidden="1"/>
    </xf>
    <xf numFmtId="188" fontId="4" fillId="36" borderId="10" xfId="53" applyNumberFormat="1" applyFont="1" applyFill="1" applyBorder="1" applyAlignment="1" applyProtection="1">
      <alignment horizontal="right"/>
      <protection hidden="1"/>
    </xf>
    <xf numFmtId="49" fontId="13" fillId="36" borderId="10" xfId="0" applyNumberFormat="1" applyFont="1" applyFill="1" applyBorder="1" applyAlignment="1">
      <alignment horizontal="center" vertical="center" wrapText="1"/>
    </xf>
    <xf numFmtId="174" fontId="78" fillId="36" borderId="10" xfId="53" applyNumberFormat="1" applyFont="1" applyFill="1" applyBorder="1" applyAlignment="1" applyProtection="1">
      <alignment horizontal="center"/>
      <protection hidden="1"/>
    </xf>
    <xf numFmtId="0" fontId="0" fillId="36" borderId="10" xfId="0" applyFill="1" applyBorder="1" applyAlignment="1">
      <alignment/>
    </xf>
    <xf numFmtId="0" fontId="2" fillId="36" borderId="0" xfId="53" applyNumberFormat="1" applyFont="1" applyFill="1" applyAlignment="1" applyProtection="1">
      <alignment wrapText="1"/>
      <protection hidden="1"/>
    </xf>
    <xf numFmtId="0" fontId="2" fillId="36" borderId="0" xfId="53" applyNumberFormat="1" applyFont="1" applyFill="1" applyAlignment="1" applyProtection="1">
      <alignment/>
      <protection hidden="1"/>
    </xf>
    <xf numFmtId="40" fontId="3" fillId="36" borderId="0" xfId="53" applyNumberFormat="1" applyFont="1" applyFill="1" applyAlignment="1" applyProtection="1">
      <alignment/>
      <protection hidden="1"/>
    </xf>
    <xf numFmtId="40" fontId="3" fillId="36" borderId="0" xfId="53" applyNumberFormat="1" applyFont="1" applyFill="1" applyAlignment="1" applyProtection="1">
      <alignment horizontal="center"/>
      <protection hidden="1"/>
    </xf>
    <xf numFmtId="0" fontId="0" fillId="36" borderId="0" xfId="0" applyFill="1" applyAlignment="1">
      <alignment horizontal="center"/>
    </xf>
    <xf numFmtId="0" fontId="12" fillId="36" borderId="0" xfId="53" applyFont="1" applyFill="1" applyAlignment="1">
      <alignment horizontal="center" wrapText="1"/>
      <protection/>
    </xf>
    <xf numFmtId="0" fontId="9" fillId="36" borderId="10" xfId="53" applyNumberFormat="1" applyFont="1" applyFill="1" applyBorder="1" applyAlignment="1" applyProtection="1">
      <alignment horizontal="center" vertical="center" wrapText="1"/>
      <protection hidden="1"/>
    </xf>
    <xf numFmtId="0" fontId="19" fillId="36" borderId="10" xfId="0" applyNumberFormat="1" applyFont="1" applyFill="1" applyBorder="1" applyAlignment="1">
      <alignment horizontal="left" vertical="center" wrapText="1"/>
    </xf>
    <xf numFmtId="173" fontId="17" fillId="36" borderId="10" xfId="53" applyNumberFormat="1" applyFont="1" applyFill="1" applyBorder="1" applyAlignment="1" applyProtection="1">
      <alignment wrapText="1"/>
      <protection hidden="1"/>
    </xf>
    <xf numFmtId="0" fontId="18" fillId="36" borderId="13" xfId="0" applyNumberFormat="1" applyFont="1" applyFill="1" applyBorder="1" applyAlignment="1">
      <alignment horizontal="left" vertical="center" wrapText="1"/>
    </xf>
    <xf numFmtId="190" fontId="12" fillId="36" borderId="10" xfId="53" applyNumberFormat="1" applyFont="1" applyFill="1" applyBorder="1" applyAlignment="1">
      <alignment horizontal="right"/>
      <protection/>
    </xf>
    <xf numFmtId="0" fontId="30" fillId="36" borderId="10" xfId="0" applyNumberFormat="1" applyFont="1" applyFill="1" applyBorder="1" applyAlignment="1">
      <alignment horizontal="left" vertical="center" wrapText="1"/>
    </xf>
    <xf numFmtId="190" fontId="9" fillId="36" borderId="10" xfId="53" applyNumberFormat="1" applyFont="1" applyFill="1" applyBorder="1" applyAlignment="1">
      <alignment horizontal="right"/>
      <protection/>
    </xf>
    <xf numFmtId="0" fontId="30" fillId="36" borderId="10" xfId="0" applyFont="1" applyFill="1" applyBorder="1" applyAlignment="1">
      <alignment vertical="center" wrapText="1"/>
    </xf>
    <xf numFmtId="0" fontId="18" fillId="36" borderId="10" xfId="0" applyNumberFormat="1" applyFont="1" applyFill="1" applyBorder="1" applyAlignment="1">
      <alignment horizontal="left" vertical="center" wrapText="1"/>
    </xf>
    <xf numFmtId="190" fontId="17" fillId="36" borderId="10" xfId="53" applyNumberFormat="1" applyFont="1" applyFill="1" applyBorder="1" applyAlignment="1" applyProtection="1">
      <alignment horizontal="right" vertical="center" wrapText="1"/>
      <protection hidden="1"/>
    </xf>
    <xf numFmtId="49" fontId="18" fillId="36" borderId="10" xfId="0" applyNumberFormat="1" applyFont="1" applyFill="1" applyBorder="1" applyAlignment="1">
      <alignment horizontal="center" vertical="center"/>
    </xf>
    <xf numFmtId="190" fontId="12" fillId="36" borderId="10" xfId="53" applyNumberFormat="1" applyFont="1" applyFill="1" applyBorder="1" applyAlignment="1">
      <alignment horizontal="right" vertical="center"/>
      <protection/>
    </xf>
    <xf numFmtId="49" fontId="18" fillId="36" borderId="10" xfId="0" applyNumberFormat="1" applyFont="1" applyFill="1" applyBorder="1" applyAlignment="1">
      <alignment wrapText="1"/>
    </xf>
    <xf numFmtId="49" fontId="30" fillId="36" borderId="10" xfId="0" applyNumberFormat="1" applyFont="1" applyFill="1" applyBorder="1" applyAlignment="1">
      <alignment wrapText="1"/>
    </xf>
    <xf numFmtId="0" fontId="18" fillId="36" borderId="10" xfId="0" applyFont="1" applyFill="1" applyBorder="1" applyAlignment="1">
      <alignment vertical="center" wrapText="1"/>
    </xf>
    <xf numFmtId="49" fontId="18" fillId="36" borderId="10" xfId="0" applyNumberFormat="1" applyFont="1" applyFill="1" applyBorder="1" applyAlignment="1">
      <alignment vertical="top" wrapText="1"/>
    </xf>
    <xf numFmtId="0" fontId="30" fillId="36" borderId="10" xfId="0" applyFont="1" applyFill="1" applyBorder="1" applyAlignment="1">
      <alignment wrapText="1"/>
    </xf>
    <xf numFmtId="0" fontId="18" fillId="36" borderId="10" xfId="0" applyFont="1" applyFill="1" applyBorder="1" applyAlignment="1">
      <alignment vertical="center" wrapText="1"/>
    </xf>
    <xf numFmtId="49" fontId="18" fillId="36" borderId="10" xfId="0" applyNumberFormat="1" applyFont="1" applyFill="1" applyBorder="1" applyAlignment="1">
      <alignment wrapText="1"/>
    </xf>
    <xf numFmtId="0" fontId="9" fillId="36" borderId="0" xfId="53" applyFont="1" applyFill="1">
      <alignment/>
      <protection/>
    </xf>
    <xf numFmtId="0" fontId="7" fillId="36" borderId="0" xfId="54" applyFont="1" applyFill="1" applyAlignment="1" applyProtection="1">
      <alignment horizontal="left" vertical="top"/>
      <protection hidden="1"/>
    </xf>
    <xf numFmtId="175" fontId="3" fillId="36" borderId="10" xfId="53" applyNumberFormat="1" applyFont="1" applyFill="1" applyBorder="1" applyAlignment="1" applyProtection="1">
      <alignment/>
      <protection hidden="1"/>
    </xf>
    <xf numFmtId="174" fontId="3" fillId="36" borderId="24" xfId="53" applyNumberFormat="1" applyFont="1" applyFill="1" applyBorder="1" applyAlignment="1" applyProtection="1">
      <alignment horizontal="right"/>
      <protection hidden="1"/>
    </xf>
    <xf numFmtId="174" fontId="3" fillId="36" borderId="10" xfId="53" applyNumberFormat="1" applyFont="1" applyFill="1" applyBorder="1" applyAlignment="1" applyProtection="1">
      <alignment horizontal="right"/>
      <protection hidden="1"/>
    </xf>
    <xf numFmtId="175" fontId="3" fillId="36" borderId="10" xfId="53" applyNumberFormat="1" applyFont="1" applyFill="1" applyBorder="1" applyAlignment="1" applyProtection="1">
      <alignment horizontal="right"/>
      <protection hidden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vertical="top" wrapText="1"/>
    </xf>
    <xf numFmtId="0" fontId="26" fillId="0" borderId="10" xfId="0" applyFont="1" applyBorder="1" applyAlignment="1">
      <alignment horizontal="justify" vertical="top" wrapText="1"/>
    </xf>
    <xf numFmtId="0" fontId="27" fillId="0" borderId="0" xfId="0" applyFont="1" applyAlignment="1">
      <alignment horizontal="left" wrapText="1"/>
    </xf>
    <xf numFmtId="0" fontId="31" fillId="0" borderId="0" xfId="0" applyFont="1" applyAlignment="1">
      <alignment horizontal="center" wrapText="1"/>
    </xf>
    <xf numFmtId="0" fontId="26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vertical="top" wrapText="1"/>
    </xf>
    <xf numFmtId="0" fontId="21" fillId="0" borderId="10" xfId="0" applyFont="1" applyFill="1" applyBorder="1" applyAlignment="1">
      <alignment horizontal="center" vertical="top" wrapText="1"/>
    </xf>
    <xf numFmtId="0" fontId="26" fillId="0" borderId="10" xfId="0" applyFont="1" applyBorder="1" applyAlignment="1">
      <alignment horizontal="center" wrapText="1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31" fillId="0" borderId="0" xfId="0" applyFont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10" fillId="0" borderId="0" xfId="53" applyFont="1" applyBorder="1" applyAlignment="1" applyProtection="1">
      <alignment horizontal="center" wrapText="1"/>
      <protection hidden="1"/>
    </xf>
    <xf numFmtId="173" fontId="3" fillId="36" borderId="10" xfId="53" applyNumberFormat="1" applyFont="1" applyFill="1" applyBorder="1" applyAlignment="1" applyProtection="1">
      <alignment wrapText="1"/>
      <protection hidden="1"/>
    </xf>
    <xf numFmtId="173" fontId="3" fillId="36" borderId="10" xfId="53" applyNumberFormat="1" applyFont="1" applyFill="1" applyBorder="1" applyAlignment="1" applyProtection="1">
      <alignment horizontal="left" wrapText="1"/>
      <protection hidden="1"/>
    </xf>
    <xf numFmtId="173" fontId="4" fillId="36" borderId="10" xfId="53" applyNumberFormat="1" applyFont="1" applyFill="1" applyBorder="1" applyAlignment="1" applyProtection="1">
      <alignment horizontal="left" wrapText="1"/>
      <protection hidden="1"/>
    </xf>
    <xf numFmtId="0" fontId="35" fillId="36" borderId="11" xfId="0" applyFont="1" applyFill="1" applyBorder="1" applyAlignment="1">
      <alignment wrapText="1"/>
    </xf>
    <xf numFmtId="0" fontId="0" fillId="36" borderId="20" xfId="0" applyFill="1" applyBorder="1" applyAlignment="1">
      <alignment wrapText="1"/>
    </xf>
    <xf numFmtId="0" fontId="0" fillId="36" borderId="21" xfId="0" applyFill="1" applyBorder="1" applyAlignment="1">
      <alignment wrapText="1"/>
    </xf>
    <xf numFmtId="173" fontId="4" fillId="36" borderId="10" xfId="53" applyNumberFormat="1" applyFont="1" applyFill="1" applyBorder="1" applyAlignment="1" applyProtection="1">
      <alignment wrapText="1"/>
      <protection hidden="1"/>
    </xf>
    <xf numFmtId="0" fontId="35" fillId="36" borderId="10" xfId="0" applyFont="1" applyFill="1" applyBorder="1" applyAlignment="1">
      <alignment/>
    </xf>
    <xf numFmtId="173" fontId="3" fillId="36" borderId="31" xfId="53" applyNumberFormat="1" applyFont="1" applyFill="1" applyBorder="1" applyAlignment="1" applyProtection="1">
      <alignment horizontal="left" wrapText="1"/>
      <protection hidden="1"/>
    </xf>
    <xf numFmtId="173" fontId="3" fillId="36" borderId="20" xfId="53" applyNumberFormat="1" applyFont="1" applyFill="1" applyBorder="1" applyAlignment="1" applyProtection="1">
      <alignment horizontal="left" wrapText="1"/>
      <protection hidden="1"/>
    </xf>
    <xf numFmtId="173" fontId="3" fillId="36" borderId="21" xfId="53" applyNumberFormat="1" applyFont="1" applyFill="1" applyBorder="1" applyAlignment="1" applyProtection="1">
      <alignment horizontal="left" wrapText="1"/>
      <protection hidden="1"/>
    </xf>
    <xf numFmtId="173" fontId="79" fillId="36" borderId="11" xfId="53" applyNumberFormat="1" applyFont="1" applyFill="1" applyBorder="1" applyAlignment="1" applyProtection="1">
      <alignment horizontal="left" wrapText="1"/>
      <protection hidden="1"/>
    </xf>
    <xf numFmtId="173" fontId="79" fillId="36" borderId="20" xfId="53" applyNumberFormat="1" applyFont="1" applyFill="1" applyBorder="1" applyAlignment="1" applyProtection="1">
      <alignment horizontal="left" wrapText="1"/>
      <protection hidden="1"/>
    </xf>
    <xf numFmtId="173" fontId="79" fillId="36" borderId="21" xfId="53" applyNumberFormat="1" applyFont="1" applyFill="1" applyBorder="1" applyAlignment="1" applyProtection="1">
      <alignment horizontal="left" wrapText="1"/>
      <protection hidden="1"/>
    </xf>
    <xf numFmtId="0" fontId="35" fillId="36" borderId="10" xfId="0" applyFont="1" applyFill="1" applyBorder="1" applyAlignment="1">
      <alignment wrapText="1"/>
    </xf>
    <xf numFmtId="173" fontId="3" fillId="36" borderId="11" xfId="53" applyNumberFormat="1" applyFont="1" applyFill="1" applyBorder="1" applyAlignment="1" applyProtection="1">
      <alignment wrapText="1"/>
      <protection hidden="1"/>
    </xf>
    <xf numFmtId="173" fontId="3" fillId="36" borderId="20" xfId="53" applyNumberFormat="1" applyFont="1" applyFill="1" applyBorder="1" applyAlignment="1" applyProtection="1">
      <alignment wrapText="1"/>
      <protection hidden="1"/>
    </xf>
    <xf numFmtId="173" fontId="3" fillId="36" borderId="21" xfId="53" applyNumberFormat="1" applyFont="1" applyFill="1" applyBorder="1" applyAlignment="1" applyProtection="1">
      <alignment wrapText="1"/>
      <protection hidden="1"/>
    </xf>
    <xf numFmtId="173" fontId="4" fillId="36" borderId="11" xfId="53" applyNumberFormat="1" applyFont="1" applyFill="1" applyBorder="1" applyAlignment="1" applyProtection="1">
      <alignment wrapText="1"/>
      <protection hidden="1"/>
    </xf>
    <xf numFmtId="173" fontId="4" fillId="36" borderId="20" xfId="53" applyNumberFormat="1" applyFont="1" applyFill="1" applyBorder="1" applyAlignment="1" applyProtection="1">
      <alignment wrapText="1"/>
      <protection hidden="1"/>
    </xf>
    <xf numFmtId="173" fontId="4" fillId="36" borderId="21" xfId="53" applyNumberFormat="1" applyFont="1" applyFill="1" applyBorder="1" applyAlignment="1" applyProtection="1">
      <alignment wrapText="1"/>
      <protection hidden="1"/>
    </xf>
    <xf numFmtId="0" fontId="3" fillId="36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6" borderId="10" xfId="53" applyNumberFormat="1" applyFont="1" applyFill="1" applyBorder="1" applyAlignment="1" applyProtection="1">
      <alignment horizontal="center" wrapText="1"/>
      <protection hidden="1"/>
    </xf>
    <xf numFmtId="0" fontId="5" fillId="36" borderId="0" xfId="55" applyFont="1" applyFill="1" applyAlignment="1" applyProtection="1">
      <alignment horizontal="center" wrapText="1"/>
      <protection hidden="1"/>
    </xf>
    <xf numFmtId="0" fontId="3" fillId="36" borderId="10" xfId="53" applyNumberFormat="1" applyFont="1" applyFill="1" applyBorder="1" applyAlignment="1" applyProtection="1">
      <alignment horizontal="center" vertical="center"/>
      <protection hidden="1"/>
    </xf>
    <xf numFmtId="49" fontId="36" fillId="0" borderId="0" xfId="0" applyNumberFormat="1" applyFont="1" applyAlignment="1">
      <alignment horizontal="center"/>
    </xf>
    <xf numFmtId="0" fontId="36" fillId="0" borderId="0" xfId="0" applyFont="1" applyAlignment="1">
      <alignment horizontal="center" wrapText="1"/>
    </xf>
    <xf numFmtId="0" fontId="27" fillId="0" borderId="12" xfId="0" applyFont="1" applyBorder="1" applyAlignment="1">
      <alignment horizontal="right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49" fontId="27" fillId="0" borderId="25" xfId="0" applyNumberFormat="1" applyFont="1" applyBorder="1" applyAlignment="1">
      <alignment/>
    </xf>
    <xf numFmtId="49" fontId="27" fillId="0" borderId="13" xfId="0" applyNumberFormat="1" applyFont="1" applyBorder="1" applyAlignment="1">
      <alignment/>
    </xf>
    <xf numFmtId="0" fontId="27" fillId="0" borderId="25" xfId="0" applyFont="1" applyBorder="1" applyAlignment="1">
      <alignment wrapText="1"/>
    </xf>
    <xf numFmtId="0" fontId="27" fillId="0" borderId="13" xfId="0" applyFont="1" applyBorder="1" applyAlignment="1">
      <alignment wrapText="1"/>
    </xf>
    <xf numFmtId="0" fontId="27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1" fillId="0" borderId="0" xfId="53" applyFont="1" applyAlignment="1">
      <alignment horizont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4" xfId="56"/>
    <cellStyle name="Обычный_Tmp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7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58.8515625" style="0" customWidth="1"/>
    <col min="3" max="3" width="12.7109375" style="0" customWidth="1"/>
    <col min="4" max="5" width="10.8515625" style="0" hidden="1" customWidth="1"/>
  </cols>
  <sheetData>
    <row r="1" spans="2:5" ht="15.75">
      <c r="B1" s="50"/>
      <c r="C1" s="76" t="s">
        <v>76</v>
      </c>
      <c r="E1" s="76" t="s">
        <v>76</v>
      </c>
    </row>
    <row r="2" spans="2:5" ht="15.75">
      <c r="B2" s="50"/>
      <c r="C2" s="76" t="s">
        <v>43</v>
      </c>
      <c r="E2" s="76" t="s">
        <v>43</v>
      </c>
    </row>
    <row r="3" spans="2:5" ht="15.75">
      <c r="B3" s="50"/>
      <c r="C3" s="76" t="s">
        <v>44</v>
      </c>
      <c r="E3" s="76" t="s">
        <v>44</v>
      </c>
    </row>
    <row r="4" spans="2:5" ht="15.75">
      <c r="B4" s="50"/>
      <c r="C4" s="76" t="s">
        <v>318</v>
      </c>
      <c r="E4" s="76" t="s">
        <v>318</v>
      </c>
    </row>
    <row r="5" spans="2:5" ht="15.75">
      <c r="B5" s="50"/>
      <c r="C5" s="76" t="s">
        <v>467</v>
      </c>
      <c r="E5" s="76" t="s">
        <v>282</v>
      </c>
    </row>
    <row r="6" spans="1:5" ht="18.75">
      <c r="A6" s="279" t="s">
        <v>322</v>
      </c>
      <c r="B6" s="279"/>
      <c r="C6" s="279"/>
      <c r="D6" s="279"/>
      <c r="E6" s="279"/>
    </row>
    <row r="7" spans="1:5" ht="39" customHeight="1">
      <c r="A7" s="280" t="s">
        <v>264</v>
      </c>
      <c r="B7" s="280"/>
      <c r="C7" s="280"/>
      <c r="D7" s="280"/>
      <c r="E7" s="280"/>
    </row>
    <row r="8" spans="1:3" ht="15">
      <c r="A8" s="11"/>
      <c r="B8" s="12"/>
      <c r="C8" s="13"/>
    </row>
    <row r="9" spans="1:5" ht="15">
      <c r="A9" s="11"/>
      <c r="B9" s="12"/>
      <c r="E9" s="74" t="s">
        <v>130</v>
      </c>
    </row>
    <row r="10" spans="1:5" ht="43.5" customHeight="1">
      <c r="A10" s="274" t="s">
        <v>323</v>
      </c>
      <c r="B10" s="276" t="s">
        <v>324</v>
      </c>
      <c r="C10" s="278" t="s">
        <v>41</v>
      </c>
      <c r="D10" s="278"/>
      <c r="E10" s="278"/>
    </row>
    <row r="11" spans="1:5" ht="15">
      <c r="A11" s="275"/>
      <c r="B11" s="277"/>
      <c r="C11" s="14">
        <v>2016</v>
      </c>
      <c r="D11" s="14">
        <v>2017</v>
      </c>
      <c r="E11" s="14">
        <v>2018</v>
      </c>
    </row>
    <row r="12" spans="1:5" ht="15">
      <c r="A12" s="15">
        <v>1</v>
      </c>
      <c r="B12" s="15">
        <v>2</v>
      </c>
      <c r="C12" s="16">
        <v>3</v>
      </c>
      <c r="D12" s="15">
        <v>4</v>
      </c>
      <c r="E12" s="15">
        <v>3</v>
      </c>
    </row>
    <row r="13" spans="1:5" ht="27.75" customHeight="1">
      <c r="A13" s="17" t="s">
        <v>326</v>
      </c>
      <c r="B13" s="18" t="s">
        <v>327</v>
      </c>
      <c r="C13" s="19">
        <f>C14</f>
        <v>26051.6</v>
      </c>
      <c r="D13" s="19">
        <f>D14</f>
        <v>32066.8</v>
      </c>
      <c r="E13" s="19">
        <f>E14</f>
        <v>29356.600000000006</v>
      </c>
    </row>
    <row r="14" spans="1:5" ht="27.75" customHeight="1">
      <c r="A14" s="17" t="s">
        <v>328</v>
      </c>
      <c r="B14" s="18" t="s">
        <v>329</v>
      </c>
      <c r="C14" s="19">
        <f>C15+C18+C21</f>
        <v>26051.6</v>
      </c>
      <c r="D14" s="19">
        <f>D15+D18+D21</f>
        <v>32066.8</v>
      </c>
      <c r="E14" s="19">
        <f>E15+E18+E21</f>
        <v>29356.600000000006</v>
      </c>
    </row>
    <row r="15" spans="1:5" ht="27.75" customHeight="1">
      <c r="A15" s="17" t="s">
        <v>330</v>
      </c>
      <c r="B15" s="20" t="s">
        <v>331</v>
      </c>
      <c r="C15" s="19">
        <f>C16+C17</f>
        <v>23176.1</v>
      </c>
      <c r="D15" s="19">
        <f>D16+D17</f>
        <v>29152.6</v>
      </c>
      <c r="E15" s="19">
        <f>E16+E17</f>
        <v>26379.300000000003</v>
      </c>
    </row>
    <row r="16" spans="1:5" ht="27.75" customHeight="1">
      <c r="A16" s="21" t="s">
        <v>332</v>
      </c>
      <c r="B16" s="22" t="s">
        <v>338</v>
      </c>
      <c r="C16" s="23">
        <f>833.3+4471</f>
        <v>5304.3</v>
      </c>
      <c r="D16" s="82">
        <f>833.3+4356.3</f>
        <v>5189.6</v>
      </c>
      <c r="E16" s="82">
        <f>833.3+4363.8</f>
        <v>5197.1</v>
      </c>
    </row>
    <row r="17" spans="1:5" ht="27.75" customHeight="1">
      <c r="A17" s="24" t="s">
        <v>333</v>
      </c>
      <c r="B17" s="25" t="s">
        <v>339</v>
      </c>
      <c r="C17" s="23">
        <v>17871.8</v>
      </c>
      <c r="D17" s="82">
        <f>23963</f>
        <v>23963</v>
      </c>
      <c r="E17" s="82">
        <f>21182.2</f>
        <v>21182.2</v>
      </c>
    </row>
    <row r="18" spans="1:5" ht="27.75" customHeight="1">
      <c r="A18" s="26" t="s">
        <v>334</v>
      </c>
      <c r="B18" s="27" t="s">
        <v>335</v>
      </c>
      <c r="C18" s="19">
        <f>C19+C20</f>
        <v>172.4</v>
      </c>
      <c r="D18" s="19">
        <f>D19+D20</f>
        <v>16.4</v>
      </c>
      <c r="E18" s="19">
        <f>E19+E20</f>
        <v>16.4</v>
      </c>
    </row>
    <row r="19" spans="1:5" ht="27.75" customHeight="1">
      <c r="A19" s="24" t="s">
        <v>336</v>
      </c>
      <c r="B19" s="25" t="s">
        <v>340</v>
      </c>
      <c r="C19" s="23">
        <v>16.4</v>
      </c>
      <c r="D19" s="23">
        <v>16.4</v>
      </c>
      <c r="E19" s="23">
        <v>16.4</v>
      </c>
    </row>
    <row r="20" spans="1:5" ht="42.75" customHeight="1">
      <c r="A20" s="24" t="s">
        <v>337</v>
      </c>
      <c r="B20" s="25" t="s">
        <v>341</v>
      </c>
      <c r="C20" s="23">
        <v>156</v>
      </c>
      <c r="D20" s="23">
        <v>0</v>
      </c>
      <c r="E20" s="23">
        <v>0</v>
      </c>
    </row>
    <row r="21" spans="1:5" ht="27.75" customHeight="1">
      <c r="A21" s="26" t="s">
        <v>0</v>
      </c>
      <c r="B21" s="27" t="s">
        <v>298</v>
      </c>
      <c r="C21" s="19">
        <f>C22+C23</f>
        <v>2703.1</v>
      </c>
      <c r="D21" s="19">
        <f>D22+D23</f>
        <v>2897.8</v>
      </c>
      <c r="E21" s="19">
        <f>E22+E23</f>
        <v>2960.8999999999996</v>
      </c>
    </row>
    <row r="22" spans="1:5" ht="27.75" customHeight="1">
      <c r="A22" s="28" t="s">
        <v>1</v>
      </c>
      <c r="B22" s="29" t="s">
        <v>342</v>
      </c>
      <c r="C22" s="23">
        <v>1375.8</v>
      </c>
      <c r="D22" s="82">
        <f>1367.1</f>
        <v>1367.1</v>
      </c>
      <c r="E22" s="82">
        <f>1367.1</f>
        <v>1367.1</v>
      </c>
    </row>
    <row r="23" spans="1:5" ht="51.75">
      <c r="A23" s="80" t="s">
        <v>194</v>
      </c>
      <c r="B23" s="78" t="s">
        <v>343</v>
      </c>
      <c r="C23" s="23">
        <v>1327.3</v>
      </c>
      <c r="D23" s="81">
        <f>8.7+1366+156</f>
        <v>1530.7</v>
      </c>
      <c r="E23" s="81">
        <f>3.8+1434+156</f>
        <v>1593.8</v>
      </c>
    </row>
    <row r="24" spans="1:5" ht="27.75" customHeight="1">
      <c r="A24" s="26" t="s">
        <v>275</v>
      </c>
      <c r="B24" s="27" t="s">
        <v>274</v>
      </c>
      <c r="C24" s="19">
        <f>C25+C26</f>
        <v>0</v>
      </c>
      <c r="D24" s="19">
        <f>D25+D26</f>
        <v>0</v>
      </c>
      <c r="E24" s="19">
        <f>E25+E26</f>
        <v>0</v>
      </c>
    </row>
    <row r="25" spans="1:5" ht="42.75" customHeight="1">
      <c r="A25" s="28" t="s">
        <v>48</v>
      </c>
      <c r="B25" s="29" t="s">
        <v>49</v>
      </c>
      <c r="C25" s="23">
        <v>0</v>
      </c>
      <c r="D25" s="81">
        <v>0</v>
      </c>
      <c r="E25" s="81">
        <v>0</v>
      </c>
    </row>
    <row r="27" spans="3:5" ht="15">
      <c r="C27" s="159"/>
      <c r="D27" s="159"/>
      <c r="E27" s="159"/>
    </row>
  </sheetData>
  <sheetProtection/>
  <mergeCells count="5">
    <mergeCell ref="A10:A11"/>
    <mergeCell ref="B10:B11"/>
    <mergeCell ref="C10:E10"/>
    <mergeCell ref="A6:E6"/>
    <mergeCell ref="A7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5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9.140625" style="50" customWidth="1"/>
    <col min="2" max="2" width="65.8515625" style="50" customWidth="1"/>
    <col min="3" max="3" width="13.57421875" style="50" customWidth="1"/>
    <col min="4" max="4" width="11.140625" style="50" hidden="1" customWidth="1"/>
    <col min="5" max="5" width="11.00390625" style="50" hidden="1" customWidth="1"/>
    <col min="6" max="16384" width="9.140625" style="50" customWidth="1"/>
  </cols>
  <sheetData>
    <row r="2" spans="3:5" ht="15.75">
      <c r="C2" s="76" t="s">
        <v>127</v>
      </c>
      <c r="E2" s="76" t="s">
        <v>127</v>
      </c>
    </row>
    <row r="3" spans="3:5" ht="15.75">
      <c r="C3" s="76" t="s">
        <v>43</v>
      </c>
      <c r="E3" s="76" t="s">
        <v>43</v>
      </c>
    </row>
    <row r="4" spans="3:5" ht="15.75">
      <c r="C4" s="76" t="s">
        <v>44</v>
      </c>
      <c r="E4" s="76" t="s">
        <v>44</v>
      </c>
    </row>
    <row r="5" spans="3:5" ht="15.75">
      <c r="C5" s="76" t="s">
        <v>318</v>
      </c>
      <c r="E5" s="76" t="s">
        <v>318</v>
      </c>
    </row>
    <row r="6" spans="3:5" ht="15.75">
      <c r="C6" s="76" t="s">
        <v>468</v>
      </c>
      <c r="E6" s="76" t="s">
        <v>282</v>
      </c>
    </row>
    <row r="8" spans="2:7" ht="73.5" customHeight="1">
      <c r="B8" s="285" t="s">
        <v>270</v>
      </c>
      <c r="C8" s="285"/>
      <c r="D8" s="285"/>
      <c r="E8" s="285"/>
      <c r="F8" s="97"/>
      <c r="G8" s="97"/>
    </row>
    <row r="9" spans="2:7" ht="18.75">
      <c r="B9" s="98"/>
      <c r="C9" s="98"/>
      <c r="D9" s="98"/>
      <c r="E9" s="98"/>
      <c r="F9" s="97"/>
      <c r="G9" s="97"/>
    </row>
    <row r="10" ht="15">
      <c r="E10" s="53" t="s">
        <v>130</v>
      </c>
    </row>
    <row r="11" spans="2:5" ht="15.75" customHeight="1">
      <c r="B11" s="338" t="s">
        <v>311</v>
      </c>
      <c r="C11" s="341" t="s">
        <v>50</v>
      </c>
      <c r="D11" s="339" t="s">
        <v>123</v>
      </c>
      <c r="E11" s="340"/>
    </row>
    <row r="12" spans="2:5" ht="15">
      <c r="B12" s="338"/>
      <c r="C12" s="342"/>
      <c r="D12" s="73" t="s">
        <v>188</v>
      </c>
      <c r="E12" s="73" t="s">
        <v>277</v>
      </c>
    </row>
    <row r="13" spans="2:5" ht="63">
      <c r="B13" s="47" t="s">
        <v>124</v>
      </c>
      <c r="C13" s="147">
        <v>3187.1</v>
      </c>
      <c r="D13" s="147" t="e">
        <f>D14+#REF!+D15</f>
        <v>#REF!</v>
      </c>
      <c r="E13" s="147" t="e">
        <f>E14++#REF!+E15</f>
        <v>#REF!</v>
      </c>
    </row>
    <row r="14" spans="2:5" ht="47.25">
      <c r="B14" s="44" t="s">
        <v>125</v>
      </c>
      <c r="C14" s="147">
        <v>2669.4</v>
      </c>
      <c r="D14" s="148">
        <v>6865.7</v>
      </c>
      <c r="E14" s="148">
        <v>4674.9</v>
      </c>
    </row>
    <row r="15" spans="2:5" ht="47.25">
      <c r="B15" s="44" t="s">
        <v>126</v>
      </c>
      <c r="C15" s="147">
        <v>517.7</v>
      </c>
      <c r="D15" s="147">
        <v>0</v>
      </c>
      <c r="E15" s="147">
        <v>0</v>
      </c>
    </row>
  </sheetData>
  <sheetProtection/>
  <mergeCells count="4">
    <mergeCell ref="B11:B12"/>
    <mergeCell ref="B8:E8"/>
    <mergeCell ref="D11:E11"/>
    <mergeCell ref="C11:C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0"/>
  <sheetViews>
    <sheetView zoomScale="80" zoomScaleNormal="80" zoomScaleSheetLayoutView="80" zoomScalePageLayoutView="0" workbookViewId="0" topLeftCell="A1">
      <selection activeCell="H14" sqref="H14"/>
    </sheetView>
  </sheetViews>
  <sheetFormatPr defaultColWidth="9.140625" defaultRowHeight="15"/>
  <cols>
    <col min="1" max="1" width="112.00390625" style="33" customWidth="1"/>
    <col min="2" max="2" width="16.421875" style="33" customWidth="1"/>
    <col min="3" max="3" width="12.8515625" style="33" customWidth="1"/>
    <col min="4" max="4" width="22.140625" style="33" customWidth="1"/>
    <col min="5" max="5" width="20.28125" style="33" hidden="1" customWidth="1"/>
    <col min="6" max="6" width="25.140625" style="33" hidden="1" customWidth="1"/>
    <col min="7" max="7" width="18.8515625" style="109" customWidth="1"/>
    <col min="8" max="16384" width="9.140625" style="109" customWidth="1"/>
  </cols>
  <sheetData>
    <row r="1" spans="1:6" ht="15.75" customHeight="1">
      <c r="A1" s="107"/>
      <c r="B1" s="107"/>
      <c r="C1" s="107"/>
      <c r="D1" s="76" t="s">
        <v>255</v>
      </c>
      <c r="E1" s="108"/>
      <c r="F1" s="76" t="s">
        <v>255</v>
      </c>
    </row>
    <row r="2" spans="1:6" ht="15.75">
      <c r="A2" s="110"/>
      <c r="B2" s="110"/>
      <c r="C2" s="110"/>
      <c r="D2" s="76" t="s">
        <v>43</v>
      </c>
      <c r="E2" s="108"/>
      <c r="F2" s="76" t="s">
        <v>43</v>
      </c>
    </row>
    <row r="3" spans="4:6" ht="15.75">
      <c r="D3" s="76" t="s">
        <v>44</v>
      </c>
      <c r="E3" s="108"/>
      <c r="F3" s="76" t="s">
        <v>44</v>
      </c>
    </row>
    <row r="4" spans="4:6" ht="15.75">
      <c r="D4" s="76" t="s">
        <v>318</v>
      </c>
      <c r="E4" s="108"/>
      <c r="F4" s="76" t="s">
        <v>318</v>
      </c>
    </row>
    <row r="5" spans="4:6" ht="15.75">
      <c r="D5" s="76" t="s">
        <v>467</v>
      </c>
      <c r="E5" s="108"/>
      <c r="F5" s="76" t="s">
        <v>282</v>
      </c>
    </row>
    <row r="7" spans="1:6" ht="56.25" customHeight="1">
      <c r="A7" s="343" t="s">
        <v>271</v>
      </c>
      <c r="B7" s="343"/>
      <c r="C7" s="343"/>
      <c r="D7" s="343"/>
      <c r="E7" s="343"/>
      <c r="F7" s="343"/>
    </row>
    <row r="8" spans="1:6" ht="16.5" customHeight="1">
      <c r="A8" s="248"/>
      <c r="B8" s="248"/>
      <c r="C8" s="248"/>
      <c r="D8" s="248"/>
      <c r="E8" s="111"/>
      <c r="F8" s="111"/>
    </row>
    <row r="9" spans="1:10" ht="12.75">
      <c r="A9" s="249" t="s">
        <v>311</v>
      </c>
      <c r="B9" s="249" t="s">
        <v>152</v>
      </c>
      <c r="C9" s="249" t="s">
        <v>145</v>
      </c>
      <c r="D9" s="249" t="s">
        <v>153</v>
      </c>
      <c r="E9" s="112" t="s">
        <v>193</v>
      </c>
      <c r="F9" s="112" t="s">
        <v>281</v>
      </c>
      <c r="G9" s="113"/>
      <c r="H9" s="113"/>
      <c r="I9" s="113"/>
      <c r="J9" s="113"/>
    </row>
    <row r="10" spans="1:10" ht="21" customHeight="1">
      <c r="A10" s="250" t="s">
        <v>303</v>
      </c>
      <c r="B10" s="251" t="s">
        <v>165</v>
      </c>
      <c r="C10" s="251">
        <v>0</v>
      </c>
      <c r="D10" s="186">
        <v>27271.6</v>
      </c>
      <c r="E10" s="118" t="e">
        <f>E31+#REF!+E41+#REF!+#REF!+#REF!+#REF!+#REF!+#REF!+E50+#REF!+#REF!</f>
        <v>#REF!</v>
      </c>
      <c r="F10" s="118" t="e">
        <f>F31+#REF!+F41+#REF!+#REF!+#REF!+#REF!+#REF!+#REF!+F50+#REF!+#REF!</f>
        <v>#REF!</v>
      </c>
      <c r="G10" s="114"/>
      <c r="H10" s="114"/>
      <c r="I10" s="113"/>
      <c r="J10" s="113"/>
    </row>
    <row r="11" spans="1:10" ht="18" customHeight="1">
      <c r="A11" s="250" t="s">
        <v>167</v>
      </c>
      <c r="B11" s="251" t="s">
        <v>165</v>
      </c>
      <c r="C11" s="251">
        <v>0</v>
      </c>
      <c r="D11" s="186">
        <v>5980.6</v>
      </c>
      <c r="E11" s="118" t="e">
        <f>E31+#REF!+E41+#REF!</f>
        <v>#REF!</v>
      </c>
      <c r="F11" s="118" t="e">
        <f>F31+#REF!+F41+#REF!</f>
        <v>#REF!</v>
      </c>
      <c r="G11" s="160"/>
      <c r="H11" s="160"/>
      <c r="I11" s="160"/>
      <c r="J11" s="113"/>
    </row>
    <row r="12" spans="1:10" ht="18.75" customHeight="1">
      <c r="A12" s="250" t="s">
        <v>168</v>
      </c>
      <c r="B12" s="251" t="s">
        <v>165</v>
      </c>
      <c r="C12" s="251">
        <v>0</v>
      </c>
      <c r="D12" s="186">
        <v>21291</v>
      </c>
      <c r="E12" s="118" t="e">
        <f>#REF!+#REF!+#REF!+#REF!+#REF!+#REF!+E50</f>
        <v>#REF!</v>
      </c>
      <c r="F12" s="118" t="e">
        <f>#REF!+#REF!+#REF!+#REF!+#REF!+#REF!+F50</f>
        <v>#REF!</v>
      </c>
      <c r="G12" s="160"/>
      <c r="H12" s="160"/>
      <c r="I12" s="160"/>
      <c r="J12" s="113"/>
    </row>
    <row r="13" spans="1:10" ht="33.75" customHeight="1">
      <c r="A13" s="252" t="s">
        <v>276</v>
      </c>
      <c r="B13" s="251" t="s">
        <v>397</v>
      </c>
      <c r="C13" s="251">
        <v>0</v>
      </c>
      <c r="D13" s="186">
        <v>3529</v>
      </c>
      <c r="E13" s="118"/>
      <c r="F13" s="118"/>
      <c r="G13" s="160"/>
      <c r="H13" s="160"/>
      <c r="I13" s="160"/>
      <c r="J13" s="113"/>
    </row>
    <row r="14" spans="1:10" ht="33.75" customHeight="1">
      <c r="A14" s="187" t="s">
        <v>166</v>
      </c>
      <c r="B14" s="183" t="s">
        <v>420</v>
      </c>
      <c r="C14" s="183" t="s">
        <v>154</v>
      </c>
      <c r="D14" s="253">
        <v>2201.7</v>
      </c>
      <c r="E14" s="118"/>
      <c r="F14" s="118"/>
      <c r="G14" s="160"/>
      <c r="H14" s="160"/>
      <c r="I14" s="160"/>
      <c r="J14" s="113"/>
    </row>
    <row r="15" spans="1:10" ht="28.5" customHeight="1">
      <c r="A15" s="254" t="s">
        <v>205</v>
      </c>
      <c r="B15" s="184" t="s">
        <v>420</v>
      </c>
      <c r="C15" s="184" t="s">
        <v>233</v>
      </c>
      <c r="D15" s="255">
        <v>2201.7</v>
      </c>
      <c r="E15" s="118"/>
      <c r="F15" s="118"/>
      <c r="G15" s="160"/>
      <c r="H15" s="160"/>
      <c r="I15" s="160"/>
      <c r="J15" s="113"/>
    </row>
    <row r="16" spans="1:10" ht="18.75" customHeight="1">
      <c r="A16" s="254" t="s">
        <v>202</v>
      </c>
      <c r="B16" s="184" t="s">
        <v>420</v>
      </c>
      <c r="C16" s="184" t="s">
        <v>163</v>
      </c>
      <c r="D16" s="255">
        <v>2201.7</v>
      </c>
      <c r="E16" s="118"/>
      <c r="F16" s="118"/>
      <c r="G16" s="160"/>
      <c r="H16" s="160"/>
      <c r="I16" s="160"/>
      <c r="J16" s="113"/>
    </row>
    <row r="17" spans="1:10" ht="18.75" customHeight="1">
      <c r="A17" s="256" t="s">
        <v>203</v>
      </c>
      <c r="B17" s="184" t="s">
        <v>420</v>
      </c>
      <c r="C17" s="184" t="s">
        <v>157</v>
      </c>
      <c r="D17" s="255">
        <v>2201.7</v>
      </c>
      <c r="E17" s="118"/>
      <c r="F17" s="118"/>
      <c r="G17" s="160"/>
      <c r="H17" s="160"/>
      <c r="I17" s="160"/>
      <c r="J17" s="113"/>
    </row>
    <row r="18" spans="1:10" ht="27" customHeight="1">
      <c r="A18" s="187" t="s">
        <v>166</v>
      </c>
      <c r="B18" s="183" t="s">
        <v>421</v>
      </c>
      <c r="C18" s="183" t="s">
        <v>154</v>
      </c>
      <c r="D18" s="186">
        <v>1327.3</v>
      </c>
      <c r="E18" s="118"/>
      <c r="F18" s="118"/>
      <c r="G18" s="160"/>
      <c r="H18" s="160"/>
      <c r="I18" s="160"/>
      <c r="J18" s="113"/>
    </row>
    <row r="19" spans="1:10" ht="18.75" customHeight="1">
      <c r="A19" s="254" t="s">
        <v>205</v>
      </c>
      <c r="B19" s="184" t="s">
        <v>421</v>
      </c>
      <c r="C19" s="184" t="s">
        <v>233</v>
      </c>
      <c r="D19" s="185">
        <v>1327.3</v>
      </c>
      <c r="E19" s="118"/>
      <c r="F19" s="118"/>
      <c r="G19" s="160"/>
      <c r="H19" s="160"/>
      <c r="I19" s="160"/>
      <c r="J19" s="113"/>
    </row>
    <row r="20" spans="1:10" ht="18.75" customHeight="1">
      <c r="A20" s="254" t="s">
        <v>202</v>
      </c>
      <c r="B20" s="184" t="s">
        <v>421</v>
      </c>
      <c r="C20" s="184" t="s">
        <v>163</v>
      </c>
      <c r="D20" s="185">
        <v>1327.3</v>
      </c>
      <c r="E20" s="118"/>
      <c r="F20" s="118"/>
      <c r="G20" s="160"/>
      <c r="H20" s="160"/>
      <c r="I20" s="160"/>
      <c r="J20" s="113"/>
    </row>
    <row r="21" spans="1:10" ht="18.75" customHeight="1">
      <c r="A21" s="256" t="s">
        <v>203</v>
      </c>
      <c r="B21" s="184" t="s">
        <v>421</v>
      </c>
      <c r="C21" s="184" t="s">
        <v>157</v>
      </c>
      <c r="D21" s="185">
        <v>1327.3</v>
      </c>
      <c r="E21" s="118"/>
      <c r="F21" s="118"/>
      <c r="G21" s="160"/>
      <c r="H21" s="160"/>
      <c r="I21" s="160"/>
      <c r="J21" s="113"/>
    </row>
    <row r="22" spans="1:10" ht="37.5" customHeight="1">
      <c r="A22" s="257" t="s">
        <v>235</v>
      </c>
      <c r="B22" s="251" t="s">
        <v>400</v>
      </c>
      <c r="C22" s="251">
        <v>0</v>
      </c>
      <c r="D22" s="258">
        <v>12.4</v>
      </c>
      <c r="E22" s="118"/>
      <c r="F22" s="118"/>
      <c r="G22" s="160"/>
      <c r="H22" s="160"/>
      <c r="I22" s="160"/>
      <c r="J22" s="113"/>
    </row>
    <row r="23" spans="1:10" ht="41.25" customHeight="1">
      <c r="A23" s="257" t="s">
        <v>234</v>
      </c>
      <c r="B23" s="183" t="s">
        <v>417</v>
      </c>
      <c r="C23" s="259" t="s">
        <v>154</v>
      </c>
      <c r="D23" s="253">
        <v>8.7</v>
      </c>
      <c r="E23" s="118"/>
      <c r="F23" s="118"/>
      <c r="G23" s="160"/>
      <c r="H23" s="160"/>
      <c r="I23" s="160"/>
      <c r="J23" s="113"/>
    </row>
    <row r="24" spans="1:10" ht="18.75" customHeight="1">
      <c r="A24" s="254" t="s">
        <v>205</v>
      </c>
      <c r="B24" s="184" t="s">
        <v>417</v>
      </c>
      <c r="C24" s="184" t="s">
        <v>233</v>
      </c>
      <c r="D24" s="255">
        <v>8.7</v>
      </c>
      <c r="E24" s="118"/>
      <c r="F24" s="118"/>
      <c r="G24" s="160"/>
      <c r="H24" s="160"/>
      <c r="I24" s="160"/>
      <c r="J24" s="113"/>
    </row>
    <row r="25" spans="1:10" ht="18.75" customHeight="1">
      <c r="A25" s="254" t="s">
        <v>202</v>
      </c>
      <c r="B25" s="184" t="s">
        <v>417</v>
      </c>
      <c r="C25" s="184" t="s">
        <v>163</v>
      </c>
      <c r="D25" s="255">
        <v>8.7</v>
      </c>
      <c r="E25" s="118"/>
      <c r="F25" s="118"/>
      <c r="G25" s="160"/>
      <c r="H25" s="160"/>
      <c r="I25" s="160"/>
      <c r="J25" s="113"/>
    </row>
    <row r="26" spans="1:10" ht="18.75" customHeight="1">
      <c r="A26" s="256" t="s">
        <v>203</v>
      </c>
      <c r="B26" s="184" t="s">
        <v>417</v>
      </c>
      <c r="C26" s="184" t="s">
        <v>157</v>
      </c>
      <c r="D26" s="255">
        <v>8.7</v>
      </c>
      <c r="E26" s="118"/>
      <c r="F26" s="118"/>
      <c r="G26" s="160"/>
      <c r="H26" s="160"/>
      <c r="I26" s="160"/>
      <c r="J26" s="113"/>
    </row>
    <row r="27" spans="1:10" ht="30.75" customHeight="1">
      <c r="A27" s="257" t="s">
        <v>234</v>
      </c>
      <c r="B27" s="183" t="s">
        <v>418</v>
      </c>
      <c r="C27" s="183" t="s">
        <v>154</v>
      </c>
      <c r="D27" s="253">
        <v>3.7</v>
      </c>
      <c r="E27" s="118"/>
      <c r="F27" s="118"/>
      <c r="G27" s="160"/>
      <c r="H27" s="160"/>
      <c r="I27" s="160"/>
      <c r="J27" s="113"/>
    </row>
    <row r="28" spans="1:10" ht="18.75" customHeight="1">
      <c r="A28" s="254" t="s">
        <v>205</v>
      </c>
      <c r="B28" s="184" t="s">
        <v>418</v>
      </c>
      <c r="C28" s="184" t="s">
        <v>233</v>
      </c>
      <c r="D28" s="255">
        <v>3.7</v>
      </c>
      <c r="E28" s="118"/>
      <c r="F28" s="118"/>
      <c r="G28" s="160"/>
      <c r="H28" s="160"/>
      <c r="I28" s="160"/>
      <c r="J28" s="113"/>
    </row>
    <row r="29" spans="1:10" ht="18.75" customHeight="1">
      <c r="A29" s="254" t="s">
        <v>202</v>
      </c>
      <c r="B29" s="184" t="s">
        <v>418</v>
      </c>
      <c r="C29" s="184" t="s">
        <v>163</v>
      </c>
      <c r="D29" s="255">
        <v>3.7</v>
      </c>
      <c r="E29" s="118"/>
      <c r="F29" s="118"/>
      <c r="G29" s="160"/>
      <c r="H29" s="160"/>
      <c r="I29" s="160"/>
      <c r="J29" s="113"/>
    </row>
    <row r="30" spans="1:10" ht="18.75" customHeight="1">
      <c r="A30" s="256" t="s">
        <v>203</v>
      </c>
      <c r="B30" s="184" t="s">
        <v>418</v>
      </c>
      <c r="C30" s="184" t="s">
        <v>157</v>
      </c>
      <c r="D30" s="255">
        <v>3.7</v>
      </c>
      <c r="E30" s="118"/>
      <c r="F30" s="118"/>
      <c r="G30" s="160"/>
      <c r="H30" s="160"/>
      <c r="I30" s="160"/>
      <c r="J30" s="113"/>
    </row>
    <row r="31" spans="1:7" ht="35.25">
      <c r="A31" s="257" t="s">
        <v>230</v>
      </c>
      <c r="B31" s="183" t="s">
        <v>424</v>
      </c>
      <c r="C31" s="259" t="s">
        <v>154</v>
      </c>
      <c r="D31" s="260">
        <f>D32+D36</f>
        <v>2021.7</v>
      </c>
      <c r="E31" s="116">
        <f>E32+E36</f>
        <v>615</v>
      </c>
      <c r="F31" s="116">
        <f>F32+F36</f>
        <v>300</v>
      </c>
      <c r="G31" s="133"/>
    </row>
    <row r="32" spans="1:6" ht="23.25" customHeight="1">
      <c r="A32" s="257" t="s">
        <v>149</v>
      </c>
      <c r="B32" s="183" t="s">
        <v>425</v>
      </c>
      <c r="C32" s="259" t="s">
        <v>154</v>
      </c>
      <c r="D32" s="253">
        <f>D34</f>
        <v>1721.7</v>
      </c>
      <c r="E32" s="117">
        <f>E35</f>
        <v>0</v>
      </c>
      <c r="F32" s="117">
        <f>F35</f>
        <v>0</v>
      </c>
    </row>
    <row r="33" spans="1:6" ht="49.5" customHeight="1">
      <c r="A33" s="254" t="s">
        <v>231</v>
      </c>
      <c r="B33" s="184" t="s">
        <v>460</v>
      </c>
      <c r="C33" s="184" t="s">
        <v>154</v>
      </c>
      <c r="D33" s="255">
        <f aca="true" t="shared" si="0" ref="D33:F34">D34</f>
        <v>1721.7</v>
      </c>
      <c r="E33" s="115">
        <f t="shared" si="0"/>
        <v>0</v>
      </c>
      <c r="F33" s="115">
        <f t="shared" si="0"/>
        <v>0</v>
      </c>
    </row>
    <row r="34" spans="1:6" ht="12.75">
      <c r="A34" s="254" t="s">
        <v>206</v>
      </c>
      <c r="B34" s="184" t="s">
        <v>460</v>
      </c>
      <c r="C34" s="184" t="s">
        <v>229</v>
      </c>
      <c r="D34" s="255">
        <f t="shared" si="0"/>
        <v>1721.7</v>
      </c>
      <c r="E34" s="115">
        <f t="shared" si="0"/>
        <v>0</v>
      </c>
      <c r="F34" s="115">
        <f t="shared" si="0"/>
        <v>0</v>
      </c>
    </row>
    <row r="35" spans="1:8" ht="18.75" customHeight="1">
      <c r="A35" s="254" t="s">
        <v>254</v>
      </c>
      <c r="B35" s="184" t="s">
        <v>460</v>
      </c>
      <c r="C35" s="184" t="s">
        <v>159</v>
      </c>
      <c r="D35" s="255">
        <f>'Приложение 6 (2)'!N117</f>
        <v>1721.7</v>
      </c>
      <c r="E35" s="115">
        <f>'Приложение 6 (2)'!P117</f>
        <v>0</v>
      </c>
      <c r="F35" s="115">
        <f>'Приложение 6 (2)'!R117</f>
        <v>0</v>
      </c>
      <c r="H35" s="143"/>
    </row>
    <row r="36" spans="1:6" ht="15.75" customHeight="1">
      <c r="A36" s="257" t="s">
        <v>150</v>
      </c>
      <c r="B36" s="183" t="s">
        <v>463</v>
      </c>
      <c r="C36" s="259" t="s">
        <v>154</v>
      </c>
      <c r="D36" s="253">
        <f>D37</f>
        <v>300</v>
      </c>
      <c r="E36" s="117">
        <f aca="true" t="shared" si="1" ref="E36:F39">E37</f>
        <v>615</v>
      </c>
      <c r="F36" s="117">
        <f t="shared" si="1"/>
        <v>300</v>
      </c>
    </row>
    <row r="37" spans="1:6" ht="25.5">
      <c r="A37" s="254" t="s">
        <v>232</v>
      </c>
      <c r="B37" s="184" t="s">
        <v>462</v>
      </c>
      <c r="C37" s="184" t="s">
        <v>154</v>
      </c>
      <c r="D37" s="255">
        <f>D38</f>
        <v>300</v>
      </c>
      <c r="E37" s="115">
        <f t="shared" si="1"/>
        <v>615</v>
      </c>
      <c r="F37" s="115">
        <f t="shared" si="1"/>
        <v>300</v>
      </c>
    </row>
    <row r="38" spans="1:6" ht="12.75">
      <c r="A38" s="254" t="s">
        <v>205</v>
      </c>
      <c r="B38" s="184" t="s">
        <v>462</v>
      </c>
      <c r="C38" s="184" t="s">
        <v>233</v>
      </c>
      <c r="D38" s="255">
        <f>D39</f>
        <v>300</v>
      </c>
      <c r="E38" s="115">
        <f t="shared" si="1"/>
        <v>615</v>
      </c>
      <c r="F38" s="115">
        <f t="shared" si="1"/>
        <v>300</v>
      </c>
    </row>
    <row r="39" spans="1:6" ht="12.75">
      <c r="A39" s="254" t="s">
        <v>202</v>
      </c>
      <c r="B39" s="184" t="s">
        <v>462</v>
      </c>
      <c r="C39" s="184" t="s">
        <v>163</v>
      </c>
      <c r="D39" s="255">
        <f>D40</f>
        <v>300</v>
      </c>
      <c r="E39" s="115">
        <f t="shared" si="1"/>
        <v>615</v>
      </c>
      <c r="F39" s="115">
        <f t="shared" si="1"/>
        <v>300</v>
      </c>
    </row>
    <row r="40" spans="1:6" ht="23.25" customHeight="1">
      <c r="A40" s="256" t="s">
        <v>203</v>
      </c>
      <c r="B40" s="184" t="s">
        <v>462</v>
      </c>
      <c r="C40" s="184" t="s">
        <v>157</v>
      </c>
      <c r="D40" s="255">
        <f>'Приложение 6 (2)'!N124</f>
        <v>300</v>
      </c>
      <c r="E40" s="115">
        <f>'Приложение 6 (2)'!P124</f>
        <v>615</v>
      </c>
      <c r="F40" s="115">
        <f>'Приложение 6 (2)'!R124</f>
        <v>300</v>
      </c>
    </row>
    <row r="41" spans="1:7" ht="27.75" customHeight="1">
      <c r="A41" s="252" t="s">
        <v>236</v>
      </c>
      <c r="B41" s="183" t="s">
        <v>399</v>
      </c>
      <c r="C41" s="259" t="s">
        <v>154</v>
      </c>
      <c r="D41" s="260">
        <v>417.5</v>
      </c>
      <c r="E41" s="116">
        <f>E42</f>
        <v>543</v>
      </c>
      <c r="F41" s="116">
        <f>F42</f>
        <v>532.7</v>
      </c>
      <c r="G41" s="133"/>
    </row>
    <row r="42" spans="1:6" ht="25.5">
      <c r="A42" s="257" t="s">
        <v>237</v>
      </c>
      <c r="B42" s="183" t="s">
        <v>464</v>
      </c>
      <c r="C42" s="259" t="s">
        <v>154</v>
      </c>
      <c r="D42" s="253">
        <v>402.1</v>
      </c>
      <c r="E42" s="117">
        <f>SUM(E45:E45)</f>
        <v>543</v>
      </c>
      <c r="F42" s="117">
        <f>SUM(F45:F45)</f>
        <v>532.7</v>
      </c>
    </row>
    <row r="43" spans="1:6" ht="12.75">
      <c r="A43" s="254" t="s">
        <v>205</v>
      </c>
      <c r="B43" s="184" t="s">
        <v>464</v>
      </c>
      <c r="C43" s="184" t="s">
        <v>233</v>
      </c>
      <c r="D43" s="255">
        <v>402.1</v>
      </c>
      <c r="E43" s="115">
        <f>E44</f>
        <v>543</v>
      </c>
      <c r="F43" s="115">
        <f>F44</f>
        <v>532.7</v>
      </c>
    </row>
    <row r="44" spans="1:6" ht="12.75">
      <c r="A44" s="254" t="s">
        <v>202</v>
      </c>
      <c r="B44" s="184" t="s">
        <v>464</v>
      </c>
      <c r="C44" s="184" t="s">
        <v>163</v>
      </c>
      <c r="D44" s="255">
        <v>402.1</v>
      </c>
      <c r="E44" s="115">
        <f>E45</f>
        <v>543</v>
      </c>
      <c r="F44" s="115">
        <f>F45</f>
        <v>532.7</v>
      </c>
    </row>
    <row r="45" spans="1:6" ht="12.75">
      <c r="A45" s="256" t="s">
        <v>203</v>
      </c>
      <c r="B45" s="184" t="s">
        <v>464</v>
      </c>
      <c r="C45" s="184" t="s">
        <v>157</v>
      </c>
      <c r="D45" s="255">
        <v>402.1</v>
      </c>
      <c r="E45" s="115">
        <f>'Приложение 6 (2)'!P80+'Приложение 6 (2)'!P109</f>
        <v>543</v>
      </c>
      <c r="F45" s="115">
        <f>'Приложение 6 (2)'!R80+'Приложение 6 (2)'!R109</f>
        <v>532.7</v>
      </c>
    </row>
    <row r="46" spans="1:6" ht="25.5">
      <c r="A46" s="257" t="s">
        <v>237</v>
      </c>
      <c r="B46" s="183" t="s">
        <v>457</v>
      </c>
      <c r="C46" s="259" t="s">
        <v>154</v>
      </c>
      <c r="D46" s="253">
        <v>15.4</v>
      </c>
      <c r="E46" s="115"/>
      <c r="F46" s="115"/>
    </row>
    <row r="47" spans="1:6" ht="12.75">
      <c r="A47" s="254" t="s">
        <v>205</v>
      </c>
      <c r="B47" s="184" t="s">
        <v>457</v>
      </c>
      <c r="C47" s="184" t="s">
        <v>233</v>
      </c>
      <c r="D47" s="255">
        <v>15.4</v>
      </c>
      <c r="E47" s="115"/>
      <c r="F47" s="115"/>
    </row>
    <row r="48" spans="1:6" ht="12.75">
      <c r="A48" s="254" t="s">
        <v>202</v>
      </c>
      <c r="B48" s="184" t="s">
        <v>457</v>
      </c>
      <c r="C48" s="184" t="s">
        <v>163</v>
      </c>
      <c r="D48" s="255">
        <v>15.4</v>
      </c>
      <c r="E48" s="115"/>
      <c r="F48" s="115"/>
    </row>
    <row r="49" spans="1:6" ht="12.75">
      <c r="A49" s="256" t="s">
        <v>203</v>
      </c>
      <c r="B49" s="184" t="s">
        <v>457</v>
      </c>
      <c r="C49" s="184" t="s">
        <v>157</v>
      </c>
      <c r="D49" s="255">
        <v>15.4</v>
      </c>
      <c r="E49" s="115"/>
      <c r="F49" s="115"/>
    </row>
    <row r="50" spans="1:10" ht="39" customHeight="1">
      <c r="A50" s="257" t="s">
        <v>197</v>
      </c>
      <c r="B50" s="183" t="s">
        <v>386</v>
      </c>
      <c r="C50" s="259" t="s">
        <v>154</v>
      </c>
      <c r="D50" s="260">
        <v>5170.9</v>
      </c>
      <c r="E50" s="116" t="e">
        <f>+E51+E57+E61+E72+E79</f>
        <v>#REF!</v>
      </c>
      <c r="F50" s="116" t="e">
        <f>+F51+F57+F61+F72+F79</f>
        <v>#REF!</v>
      </c>
      <c r="G50" s="113"/>
      <c r="H50" s="113"/>
      <c r="I50" s="113"/>
      <c r="J50" s="113"/>
    </row>
    <row r="51" spans="1:10" ht="36.75" customHeight="1">
      <c r="A51" s="257" t="s">
        <v>243</v>
      </c>
      <c r="B51" s="183" t="s">
        <v>406</v>
      </c>
      <c r="C51" s="259" t="s">
        <v>154</v>
      </c>
      <c r="D51" s="253">
        <v>1304.4</v>
      </c>
      <c r="E51" s="117">
        <f>E52</f>
        <v>1304.4011</v>
      </c>
      <c r="F51" s="117">
        <f>F52</f>
        <v>1304.4011</v>
      </c>
      <c r="G51" s="113"/>
      <c r="H51" s="113"/>
      <c r="I51" s="113"/>
      <c r="J51" s="113"/>
    </row>
    <row r="52" spans="1:10" ht="36.75" customHeight="1">
      <c r="A52" s="254" t="s">
        <v>200</v>
      </c>
      <c r="B52" s="184" t="s">
        <v>406</v>
      </c>
      <c r="C52" s="184" t="s">
        <v>239</v>
      </c>
      <c r="D52" s="255">
        <v>1304.4</v>
      </c>
      <c r="E52" s="115">
        <f>E53</f>
        <v>1304.4011</v>
      </c>
      <c r="F52" s="115">
        <f>F53</f>
        <v>1304.4011</v>
      </c>
      <c r="G52" s="113"/>
      <c r="H52" s="113"/>
      <c r="I52" s="113"/>
      <c r="J52" s="113"/>
    </row>
    <row r="53" spans="1:10" ht="12.75">
      <c r="A53" s="254" t="s">
        <v>201</v>
      </c>
      <c r="B53" s="184" t="s">
        <v>406</v>
      </c>
      <c r="C53" s="184" t="s">
        <v>248</v>
      </c>
      <c r="D53" s="255">
        <v>1304.4</v>
      </c>
      <c r="E53" s="115">
        <f>E54+E55</f>
        <v>1304.4011</v>
      </c>
      <c r="F53" s="115">
        <f>F54+F55</f>
        <v>1304.4011</v>
      </c>
      <c r="G53" s="113"/>
      <c r="H53" s="113"/>
      <c r="I53" s="113"/>
      <c r="J53" s="113"/>
    </row>
    <row r="54" spans="1:10" ht="16.5" customHeight="1">
      <c r="A54" s="254" t="s">
        <v>387</v>
      </c>
      <c r="B54" s="184" t="s">
        <v>406</v>
      </c>
      <c r="C54" s="184" t="s">
        <v>155</v>
      </c>
      <c r="D54" s="255">
        <f>'Приложение 6 (2)'!N20</f>
        <v>963.5</v>
      </c>
      <c r="E54" s="115">
        <f>'Приложение 6 (2)'!P20</f>
        <v>1254.4011</v>
      </c>
      <c r="F54" s="115">
        <f>'Приложение 6 (2)'!R20</f>
        <v>1254.4011</v>
      </c>
      <c r="G54" s="113"/>
      <c r="H54" s="113"/>
      <c r="I54" s="113"/>
      <c r="J54" s="113"/>
    </row>
    <row r="55" spans="1:10" ht="16.5" customHeight="1">
      <c r="A55" s="254" t="s">
        <v>147</v>
      </c>
      <c r="B55" s="184" t="s">
        <v>406</v>
      </c>
      <c r="C55" s="184" t="s">
        <v>156</v>
      </c>
      <c r="D55" s="255">
        <f>'Приложение 6 (2)'!N21</f>
        <v>50</v>
      </c>
      <c r="E55" s="115">
        <f>'Приложение 6 (2)'!P21</f>
        <v>50</v>
      </c>
      <c r="F55" s="115">
        <f>'Приложение 6 (2)'!R21</f>
        <v>50</v>
      </c>
      <c r="G55" s="113"/>
      <c r="H55" s="113"/>
      <c r="I55" s="113"/>
      <c r="J55" s="113"/>
    </row>
    <row r="56" spans="1:10" ht="30.75" customHeight="1">
      <c r="A56" s="254" t="s">
        <v>431</v>
      </c>
      <c r="B56" s="184" t="s">
        <v>406</v>
      </c>
      <c r="C56" s="184" t="s">
        <v>432</v>
      </c>
      <c r="D56" s="255">
        <v>290.9</v>
      </c>
      <c r="E56" s="115"/>
      <c r="F56" s="115"/>
      <c r="G56" s="113"/>
      <c r="H56" s="113"/>
      <c r="I56" s="113"/>
      <c r="J56" s="113"/>
    </row>
    <row r="57" spans="1:10" ht="36.75" customHeight="1">
      <c r="A57" s="257" t="s">
        <v>244</v>
      </c>
      <c r="B57" s="183" t="s">
        <v>389</v>
      </c>
      <c r="C57" s="259" t="s">
        <v>154</v>
      </c>
      <c r="D57" s="253">
        <f>D58</f>
        <v>5</v>
      </c>
      <c r="E57" s="117">
        <f aca="true" t="shared" si="2" ref="E57:F59">E58</f>
        <v>5.3</v>
      </c>
      <c r="F57" s="117">
        <f t="shared" si="2"/>
        <v>5.5</v>
      </c>
      <c r="G57" s="113"/>
      <c r="H57" s="113"/>
      <c r="I57" s="113"/>
      <c r="J57" s="113"/>
    </row>
    <row r="58" spans="1:10" ht="12.75">
      <c r="A58" s="254" t="s">
        <v>205</v>
      </c>
      <c r="B58" s="184" t="s">
        <v>389</v>
      </c>
      <c r="C58" s="184" t="s">
        <v>233</v>
      </c>
      <c r="D58" s="255">
        <f>D59</f>
        <v>5</v>
      </c>
      <c r="E58" s="115">
        <f t="shared" si="2"/>
        <v>5.3</v>
      </c>
      <c r="F58" s="115">
        <f t="shared" si="2"/>
        <v>5.5</v>
      </c>
      <c r="G58" s="113"/>
      <c r="H58" s="113"/>
      <c r="I58" s="113"/>
      <c r="J58" s="113"/>
    </row>
    <row r="59" spans="1:10" ht="12.75">
      <c r="A59" s="254" t="s">
        <v>202</v>
      </c>
      <c r="B59" s="184" t="s">
        <v>389</v>
      </c>
      <c r="C59" s="184" t="s">
        <v>163</v>
      </c>
      <c r="D59" s="255">
        <f>D60</f>
        <v>5</v>
      </c>
      <c r="E59" s="115">
        <f t="shared" si="2"/>
        <v>5.3</v>
      </c>
      <c r="F59" s="115">
        <f t="shared" si="2"/>
        <v>5.5</v>
      </c>
      <c r="G59" s="113"/>
      <c r="H59" s="113"/>
      <c r="I59" s="113"/>
      <c r="J59" s="113"/>
    </row>
    <row r="60" spans="1:10" ht="12.75">
      <c r="A60" s="256" t="s">
        <v>203</v>
      </c>
      <c r="B60" s="184" t="s">
        <v>389</v>
      </c>
      <c r="C60" s="184" t="s">
        <v>157</v>
      </c>
      <c r="D60" s="255">
        <f>'Приложение 6 (2)'!N27</f>
        <v>5</v>
      </c>
      <c r="E60" s="115">
        <f>'Приложение 6 (2)'!P27</f>
        <v>5.3</v>
      </c>
      <c r="F60" s="115">
        <f>'Приложение 6 (2)'!R27</f>
        <v>5.5</v>
      </c>
      <c r="G60" s="113"/>
      <c r="H60" s="113"/>
      <c r="I60" s="113"/>
      <c r="J60" s="113"/>
    </row>
    <row r="61" spans="1:6" ht="42" customHeight="1">
      <c r="A61" s="187" t="s">
        <v>433</v>
      </c>
      <c r="B61" s="183" t="s">
        <v>389</v>
      </c>
      <c r="C61" s="259" t="s">
        <v>154</v>
      </c>
      <c r="D61" s="253">
        <v>3111.4</v>
      </c>
      <c r="E61" s="117" t="e">
        <f>E62+E67+#REF!+E69</f>
        <v>#REF!</v>
      </c>
      <c r="F61" s="117" t="e">
        <f>F62+F67+#REF!+F69</f>
        <v>#REF!</v>
      </c>
    </row>
    <row r="62" spans="1:6" ht="29.25" customHeight="1">
      <c r="A62" s="254" t="s">
        <v>200</v>
      </c>
      <c r="B62" s="184" t="s">
        <v>389</v>
      </c>
      <c r="C62" s="259" t="s">
        <v>239</v>
      </c>
      <c r="D62" s="253">
        <v>3111.4</v>
      </c>
      <c r="E62" s="117">
        <f>E63</f>
        <v>6112.06258</v>
      </c>
      <c r="F62" s="117">
        <f>F63</f>
        <v>6072.8022</v>
      </c>
    </row>
    <row r="63" spans="1:6" ht="12.75">
      <c r="A63" s="254" t="s">
        <v>201</v>
      </c>
      <c r="B63" s="184" t="s">
        <v>389</v>
      </c>
      <c r="C63" s="184" t="s">
        <v>248</v>
      </c>
      <c r="D63" s="255">
        <v>3111.4</v>
      </c>
      <c r="E63" s="115">
        <f>E64+E65</f>
        <v>6112.06258</v>
      </c>
      <c r="F63" s="115">
        <f>F64+F65</f>
        <v>6072.8022</v>
      </c>
    </row>
    <row r="64" spans="1:6" ht="12.75">
      <c r="A64" s="254" t="s">
        <v>387</v>
      </c>
      <c r="B64" s="184" t="s">
        <v>389</v>
      </c>
      <c r="C64" s="184" t="s">
        <v>155</v>
      </c>
      <c r="D64" s="255">
        <v>2274.5</v>
      </c>
      <c r="E64" s="115">
        <f>'Приложение 6 (2)'!P33</f>
        <v>3150.66148</v>
      </c>
      <c r="F64" s="115">
        <f>'Приложение 6 (2)'!R33</f>
        <v>3111.4011</v>
      </c>
    </row>
    <row r="65" spans="1:6" ht="12.75">
      <c r="A65" s="254" t="s">
        <v>147</v>
      </c>
      <c r="B65" s="184" t="s">
        <v>389</v>
      </c>
      <c r="C65" s="184" t="s">
        <v>156</v>
      </c>
      <c r="D65" s="255">
        <v>150</v>
      </c>
      <c r="E65" s="115">
        <f>'Приложение 6 (2)'!P34</f>
        <v>2961.4011</v>
      </c>
      <c r="F65" s="115">
        <f>'Приложение 6 (2)'!R34</f>
        <v>2961.4011</v>
      </c>
    </row>
    <row r="66" spans="1:6" ht="36" customHeight="1">
      <c r="A66" s="254" t="s">
        <v>431</v>
      </c>
      <c r="B66" s="184" t="s">
        <v>389</v>
      </c>
      <c r="C66" s="184" t="s">
        <v>432</v>
      </c>
      <c r="D66" s="255">
        <v>686.9</v>
      </c>
      <c r="E66" s="115"/>
      <c r="F66" s="115"/>
    </row>
    <row r="67" spans="1:6" ht="12.75">
      <c r="A67" s="257" t="s">
        <v>204</v>
      </c>
      <c r="B67" s="183" t="s">
        <v>386</v>
      </c>
      <c r="C67" s="259" t="s">
        <v>249</v>
      </c>
      <c r="D67" s="253">
        <f>D68</f>
        <v>517.7</v>
      </c>
      <c r="E67" s="117">
        <f>E68</f>
        <v>0</v>
      </c>
      <c r="F67" s="117">
        <f>F68</f>
        <v>0</v>
      </c>
    </row>
    <row r="68" spans="1:6" ht="12.75">
      <c r="A68" s="254" t="s">
        <v>298</v>
      </c>
      <c r="B68" s="184" t="s">
        <v>408</v>
      </c>
      <c r="C68" s="184" t="s">
        <v>160</v>
      </c>
      <c r="D68" s="255">
        <f>'Приложение 6 (2)'!N39</f>
        <v>517.7</v>
      </c>
      <c r="E68" s="115">
        <f>'Приложение 6 (2)'!P39</f>
        <v>0</v>
      </c>
      <c r="F68" s="115">
        <f>'Приложение 6 (2)'!R39</f>
        <v>0</v>
      </c>
    </row>
    <row r="69" spans="1:6" ht="29.25" customHeight="1">
      <c r="A69" s="187" t="s">
        <v>434</v>
      </c>
      <c r="B69" s="183" t="s">
        <v>389</v>
      </c>
      <c r="C69" s="259" t="s">
        <v>252</v>
      </c>
      <c r="D69" s="253">
        <f>D70</f>
        <v>60</v>
      </c>
      <c r="E69" s="117">
        <f>E70</f>
        <v>60</v>
      </c>
      <c r="F69" s="117">
        <f>F70</f>
        <v>60</v>
      </c>
    </row>
    <row r="70" spans="1:6" ht="12.75">
      <c r="A70" s="254" t="s">
        <v>222</v>
      </c>
      <c r="B70" s="184" t="s">
        <v>389</v>
      </c>
      <c r="C70" s="184" t="s">
        <v>164</v>
      </c>
      <c r="D70" s="255">
        <f>'Приложение 6 (2)'!N153</f>
        <v>60</v>
      </c>
      <c r="E70" s="115">
        <f>'Приложение 6 (2)'!P153</f>
        <v>60</v>
      </c>
      <c r="F70" s="115">
        <f>'Приложение 6 (2)'!R153</f>
        <v>60</v>
      </c>
    </row>
    <row r="71" spans="1:6" ht="35.25" customHeight="1">
      <c r="A71" s="261" t="s">
        <v>246</v>
      </c>
      <c r="B71" s="183" t="s">
        <v>395</v>
      </c>
      <c r="C71" s="259" t="s">
        <v>154</v>
      </c>
      <c r="D71" s="253">
        <v>156</v>
      </c>
      <c r="E71" s="117">
        <f aca="true" t="shared" si="3" ref="E71:F73">E72</f>
        <v>0</v>
      </c>
      <c r="F71" s="117">
        <f t="shared" si="3"/>
        <v>0</v>
      </c>
    </row>
    <row r="72" spans="1:6" ht="25.5">
      <c r="A72" s="262" t="s">
        <v>200</v>
      </c>
      <c r="B72" s="184" t="s">
        <v>395</v>
      </c>
      <c r="C72" s="184" t="s">
        <v>239</v>
      </c>
      <c r="D72" s="255">
        <v>156</v>
      </c>
      <c r="E72" s="115">
        <f t="shared" si="3"/>
        <v>0</v>
      </c>
      <c r="F72" s="115">
        <f t="shared" si="3"/>
        <v>0</v>
      </c>
    </row>
    <row r="73" spans="1:6" ht="19.5" customHeight="1">
      <c r="A73" s="262" t="s">
        <v>201</v>
      </c>
      <c r="B73" s="184" t="s">
        <v>395</v>
      </c>
      <c r="C73" s="184" t="s">
        <v>248</v>
      </c>
      <c r="D73" s="255">
        <v>156</v>
      </c>
      <c r="E73" s="115">
        <f t="shared" si="3"/>
        <v>0</v>
      </c>
      <c r="F73" s="115">
        <f t="shared" si="3"/>
        <v>0</v>
      </c>
    </row>
    <row r="74" spans="1:6" ht="20.25" customHeight="1">
      <c r="A74" s="262" t="s">
        <v>146</v>
      </c>
      <c r="B74" s="184" t="s">
        <v>395</v>
      </c>
      <c r="C74" s="184" t="s">
        <v>155</v>
      </c>
      <c r="D74" s="255">
        <v>119.8</v>
      </c>
      <c r="E74" s="115">
        <f>'Приложение 6 (2)'!P66</f>
        <v>0</v>
      </c>
      <c r="F74" s="115">
        <f>'Приложение 6 (2)'!R66</f>
        <v>0</v>
      </c>
    </row>
    <row r="75" spans="1:6" ht="30" customHeight="1">
      <c r="A75" s="254" t="s">
        <v>431</v>
      </c>
      <c r="B75" s="184" t="s">
        <v>395</v>
      </c>
      <c r="C75" s="184" t="s">
        <v>432</v>
      </c>
      <c r="D75" s="255">
        <v>36.2</v>
      </c>
      <c r="E75" s="115"/>
      <c r="F75" s="115"/>
    </row>
    <row r="76" spans="1:6" ht="36" customHeight="1">
      <c r="A76" s="263" t="s">
        <v>247</v>
      </c>
      <c r="B76" s="183" t="s">
        <v>396</v>
      </c>
      <c r="C76" s="259" t="s">
        <v>154</v>
      </c>
      <c r="D76" s="253">
        <f>D77</f>
        <v>16.4</v>
      </c>
      <c r="E76" s="117">
        <f aca="true" t="shared" si="4" ref="E76:F78">E77</f>
        <v>16.4</v>
      </c>
      <c r="F76" s="117">
        <f t="shared" si="4"/>
        <v>16.4</v>
      </c>
    </row>
    <row r="77" spans="1:6" ht="12.75">
      <c r="A77" s="262" t="s">
        <v>205</v>
      </c>
      <c r="B77" s="184" t="s">
        <v>396</v>
      </c>
      <c r="C77" s="184" t="s">
        <v>233</v>
      </c>
      <c r="D77" s="255">
        <f>D78</f>
        <v>16.4</v>
      </c>
      <c r="E77" s="115">
        <f t="shared" si="4"/>
        <v>16.4</v>
      </c>
      <c r="F77" s="115">
        <f t="shared" si="4"/>
        <v>16.4</v>
      </c>
    </row>
    <row r="78" spans="1:6" ht="12.75">
      <c r="A78" s="254" t="s">
        <v>202</v>
      </c>
      <c r="B78" s="184" t="s">
        <v>396</v>
      </c>
      <c r="C78" s="184" t="s">
        <v>163</v>
      </c>
      <c r="D78" s="255">
        <f>D79</f>
        <v>16.4</v>
      </c>
      <c r="E78" s="115">
        <f t="shared" si="4"/>
        <v>16.4</v>
      </c>
      <c r="F78" s="115">
        <f t="shared" si="4"/>
        <v>16.4</v>
      </c>
    </row>
    <row r="79" spans="1:6" ht="12.75">
      <c r="A79" s="256" t="s">
        <v>203</v>
      </c>
      <c r="B79" s="184" t="s">
        <v>396</v>
      </c>
      <c r="C79" s="184" t="s">
        <v>157</v>
      </c>
      <c r="D79" s="255">
        <f>'Приложение 6 (2)'!N73</f>
        <v>16.4</v>
      </c>
      <c r="E79" s="115">
        <f>'Приложение 6 (2)'!P73</f>
        <v>16.4</v>
      </c>
      <c r="F79" s="115">
        <f>'Приложение 6 (2)'!R73</f>
        <v>16.4</v>
      </c>
    </row>
    <row r="80" spans="1:4" ht="30" customHeight="1">
      <c r="A80" s="264" t="s">
        <v>198</v>
      </c>
      <c r="B80" s="183" t="s">
        <v>410</v>
      </c>
      <c r="C80" s="259" t="s">
        <v>154</v>
      </c>
      <c r="D80" s="260">
        <v>150</v>
      </c>
    </row>
    <row r="81" spans="1:4" ht="12.75">
      <c r="A81" s="254" t="s">
        <v>209</v>
      </c>
      <c r="B81" s="184" t="s">
        <v>412</v>
      </c>
      <c r="C81" s="184" t="s">
        <v>154</v>
      </c>
      <c r="D81" s="255">
        <v>150</v>
      </c>
    </row>
    <row r="82" spans="1:4" ht="12.75">
      <c r="A82" s="254" t="s">
        <v>206</v>
      </c>
      <c r="B82" s="184" t="s">
        <v>412</v>
      </c>
      <c r="C82" s="184" t="s">
        <v>229</v>
      </c>
      <c r="D82" s="255">
        <v>150</v>
      </c>
    </row>
    <row r="83" spans="1:4" ht="12.75">
      <c r="A83" s="254" t="s">
        <v>148</v>
      </c>
      <c r="B83" s="184" t="s">
        <v>412</v>
      </c>
      <c r="C83" s="184" t="s">
        <v>161</v>
      </c>
      <c r="D83" s="255">
        <v>150</v>
      </c>
    </row>
    <row r="84" spans="1:4" ht="25.5">
      <c r="A84" s="261" t="s">
        <v>199</v>
      </c>
      <c r="B84" s="188" t="s">
        <v>392</v>
      </c>
      <c r="C84" s="259" t="s">
        <v>154</v>
      </c>
      <c r="D84" s="260">
        <f>D85</f>
        <v>5991.8</v>
      </c>
    </row>
    <row r="85" spans="1:4" ht="29.25" customHeight="1">
      <c r="A85" s="187" t="s">
        <v>435</v>
      </c>
      <c r="B85" s="189" t="s">
        <v>393</v>
      </c>
      <c r="C85" s="184" t="s">
        <v>154</v>
      </c>
      <c r="D85" s="255">
        <v>5991.8</v>
      </c>
    </row>
    <row r="86" spans="1:4" ht="32.25" customHeight="1">
      <c r="A86" s="254" t="s">
        <v>200</v>
      </c>
      <c r="B86" s="189" t="s">
        <v>393</v>
      </c>
      <c r="C86" s="184" t="s">
        <v>239</v>
      </c>
      <c r="D86" s="255">
        <v>5296.2</v>
      </c>
    </row>
    <row r="87" spans="1:4" ht="12.75">
      <c r="A87" s="254" t="s">
        <v>210</v>
      </c>
      <c r="B87" s="189" t="s">
        <v>393</v>
      </c>
      <c r="C87" s="184" t="s">
        <v>162</v>
      </c>
      <c r="D87" s="255">
        <v>5296.2</v>
      </c>
    </row>
    <row r="88" spans="1:4" ht="12.75">
      <c r="A88" s="265" t="s">
        <v>394</v>
      </c>
      <c r="B88" s="189" t="s">
        <v>393</v>
      </c>
      <c r="C88" s="184" t="s">
        <v>240</v>
      </c>
      <c r="D88" s="255">
        <v>3952.5</v>
      </c>
    </row>
    <row r="89" spans="1:4" ht="12.75">
      <c r="A89" s="265" t="s">
        <v>211</v>
      </c>
      <c r="B89" s="189" t="s">
        <v>393</v>
      </c>
      <c r="C89" s="184" t="s">
        <v>241</v>
      </c>
      <c r="D89" s="255">
        <v>150</v>
      </c>
    </row>
    <row r="90" spans="1:4" ht="32.25" customHeight="1">
      <c r="A90" s="254" t="s">
        <v>443</v>
      </c>
      <c r="B90" s="189" t="s">
        <v>393</v>
      </c>
      <c r="C90" s="184" t="s">
        <v>436</v>
      </c>
      <c r="D90" s="255">
        <v>1193.7</v>
      </c>
    </row>
    <row r="91" spans="1:4" ht="12.75">
      <c r="A91" s="254" t="s">
        <v>205</v>
      </c>
      <c r="B91" s="189" t="s">
        <v>393</v>
      </c>
      <c r="C91" s="184" t="s">
        <v>233</v>
      </c>
      <c r="D91" s="255">
        <v>670.6</v>
      </c>
    </row>
    <row r="92" spans="1:4" ht="12.75">
      <c r="A92" s="254" t="s">
        <v>202</v>
      </c>
      <c r="B92" s="189" t="s">
        <v>393</v>
      </c>
      <c r="C92" s="184" t="s">
        <v>163</v>
      </c>
      <c r="D92" s="255">
        <v>670.6</v>
      </c>
    </row>
    <row r="93" spans="1:4" ht="12.75">
      <c r="A93" s="254" t="s">
        <v>316</v>
      </c>
      <c r="B93" s="189" t="s">
        <v>393</v>
      </c>
      <c r="C93" s="184" t="s">
        <v>242</v>
      </c>
      <c r="D93" s="255">
        <v>183.4</v>
      </c>
    </row>
    <row r="94" spans="1:4" ht="12.75">
      <c r="A94" s="256" t="s">
        <v>203</v>
      </c>
      <c r="B94" s="189" t="s">
        <v>393</v>
      </c>
      <c r="C94" s="184" t="s">
        <v>157</v>
      </c>
      <c r="D94" s="255">
        <v>487.2</v>
      </c>
    </row>
    <row r="95" spans="1:4" ht="12.75">
      <c r="A95" s="266" t="s">
        <v>207</v>
      </c>
      <c r="B95" s="189" t="s">
        <v>393</v>
      </c>
      <c r="C95" s="184" t="s">
        <v>250</v>
      </c>
      <c r="D95" s="255">
        <v>25</v>
      </c>
    </row>
    <row r="96" spans="1:4" ht="12.75">
      <c r="A96" s="256" t="s">
        <v>251</v>
      </c>
      <c r="B96" s="189" t="s">
        <v>393</v>
      </c>
      <c r="C96" s="184" t="s">
        <v>158</v>
      </c>
      <c r="D96" s="255">
        <v>25</v>
      </c>
    </row>
    <row r="97" spans="1:4" ht="25.5">
      <c r="A97" s="261" t="s">
        <v>238</v>
      </c>
      <c r="B97" s="183" t="s">
        <v>398</v>
      </c>
      <c r="C97" s="259" t="s">
        <v>154</v>
      </c>
      <c r="D97" s="260">
        <v>31.5</v>
      </c>
    </row>
    <row r="98" spans="1:4" ht="12.75">
      <c r="A98" s="254" t="s">
        <v>205</v>
      </c>
      <c r="B98" s="184" t="s">
        <v>416</v>
      </c>
      <c r="C98" s="184" t="s">
        <v>233</v>
      </c>
      <c r="D98" s="255">
        <v>31.5</v>
      </c>
    </row>
    <row r="99" spans="1:4" ht="12.75">
      <c r="A99" s="254" t="s">
        <v>202</v>
      </c>
      <c r="B99" s="184" t="s">
        <v>416</v>
      </c>
      <c r="C99" s="184" t="s">
        <v>163</v>
      </c>
      <c r="D99" s="255">
        <v>31.5</v>
      </c>
    </row>
    <row r="100" spans="1:4" ht="12.75">
      <c r="A100" s="256" t="s">
        <v>203</v>
      </c>
      <c r="B100" s="184" t="s">
        <v>416</v>
      </c>
      <c r="C100" s="184" t="s">
        <v>157</v>
      </c>
      <c r="D100" s="255">
        <v>31.5</v>
      </c>
    </row>
    <row r="101" spans="1:4" ht="36.75" customHeight="1">
      <c r="A101" s="257" t="s">
        <v>216</v>
      </c>
      <c r="B101" s="183" t="s">
        <v>453</v>
      </c>
      <c r="C101" s="259" t="s">
        <v>154</v>
      </c>
      <c r="D101" s="260">
        <v>2669.4</v>
      </c>
    </row>
    <row r="102" spans="1:4" ht="25.5">
      <c r="A102" s="261" t="s">
        <v>253</v>
      </c>
      <c r="B102" s="183" t="s">
        <v>454</v>
      </c>
      <c r="C102" s="259" t="s">
        <v>154</v>
      </c>
      <c r="D102" s="253">
        <v>2669.4</v>
      </c>
    </row>
    <row r="103" spans="1:4" ht="12.75">
      <c r="A103" s="262" t="s">
        <v>204</v>
      </c>
      <c r="B103" s="184" t="s">
        <v>454</v>
      </c>
      <c r="C103" s="184" t="s">
        <v>249</v>
      </c>
      <c r="D103" s="255">
        <v>2669.4</v>
      </c>
    </row>
    <row r="104" spans="1:4" ht="12.75">
      <c r="A104" s="262" t="s">
        <v>298</v>
      </c>
      <c r="B104" s="184" t="s">
        <v>454</v>
      </c>
      <c r="C104" s="184" t="s">
        <v>160</v>
      </c>
      <c r="D104" s="255">
        <v>2669.4</v>
      </c>
    </row>
    <row r="105" spans="1:4" ht="21" customHeight="1">
      <c r="A105" s="267" t="s">
        <v>437</v>
      </c>
      <c r="B105" s="188" t="s">
        <v>402</v>
      </c>
      <c r="C105" s="259" t="s">
        <v>154</v>
      </c>
      <c r="D105" s="260">
        <v>4688.6</v>
      </c>
    </row>
    <row r="106" spans="1:4" ht="25.5">
      <c r="A106" s="187" t="s">
        <v>438</v>
      </c>
      <c r="B106" s="188" t="s">
        <v>403</v>
      </c>
      <c r="C106" s="183" t="s">
        <v>154</v>
      </c>
      <c r="D106" s="253">
        <v>4245</v>
      </c>
    </row>
    <row r="107" spans="1:4" ht="35.25" customHeight="1">
      <c r="A107" s="254" t="s">
        <v>200</v>
      </c>
      <c r="B107" s="189" t="s">
        <v>403</v>
      </c>
      <c r="C107" s="184" t="s">
        <v>239</v>
      </c>
      <c r="D107" s="255">
        <v>3156.7</v>
      </c>
    </row>
    <row r="108" spans="1:4" ht="17.25" customHeight="1">
      <c r="A108" s="254" t="s">
        <v>210</v>
      </c>
      <c r="B108" s="189" t="s">
        <v>403</v>
      </c>
      <c r="C108" s="184" t="s">
        <v>162</v>
      </c>
      <c r="D108" s="255">
        <v>3156.7</v>
      </c>
    </row>
    <row r="109" spans="1:4" ht="12.75">
      <c r="A109" s="265" t="s">
        <v>394</v>
      </c>
      <c r="B109" s="189" t="s">
        <v>403</v>
      </c>
      <c r="C109" s="184" t="s">
        <v>240</v>
      </c>
      <c r="D109" s="255">
        <v>2309.3</v>
      </c>
    </row>
    <row r="110" spans="1:4" ht="12.75">
      <c r="A110" s="265" t="s">
        <v>211</v>
      </c>
      <c r="B110" s="189" t="s">
        <v>403</v>
      </c>
      <c r="C110" s="184" t="s">
        <v>241</v>
      </c>
      <c r="D110" s="255">
        <v>150</v>
      </c>
    </row>
    <row r="111" spans="1:4" ht="28.5" customHeight="1">
      <c r="A111" s="254" t="s">
        <v>443</v>
      </c>
      <c r="B111" s="189" t="s">
        <v>403</v>
      </c>
      <c r="C111" s="184" t="s">
        <v>436</v>
      </c>
      <c r="D111" s="255">
        <v>697.4</v>
      </c>
    </row>
    <row r="112" spans="1:4" ht="18.75" customHeight="1">
      <c r="A112" s="254" t="s">
        <v>205</v>
      </c>
      <c r="B112" s="189" t="s">
        <v>403</v>
      </c>
      <c r="C112" s="184" t="s">
        <v>233</v>
      </c>
      <c r="D112" s="255">
        <v>1073.3</v>
      </c>
    </row>
    <row r="113" spans="1:4" ht="19.5" customHeight="1">
      <c r="A113" s="254" t="s">
        <v>202</v>
      </c>
      <c r="B113" s="189" t="s">
        <v>403</v>
      </c>
      <c r="C113" s="184" t="s">
        <v>163</v>
      </c>
      <c r="D113" s="255">
        <v>1073.3</v>
      </c>
    </row>
    <row r="114" spans="1:4" ht="21" customHeight="1">
      <c r="A114" s="254" t="s">
        <v>316</v>
      </c>
      <c r="B114" s="189" t="s">
        <v>403</v>
      </c>
      <c r="C114" s="184" t="s">
        <v>242</v>
      </c>
      <c r="D114" s="255">
        <v>46.4</v>
      </c>
    </row>
    <row r="115" spans="1:4" ht="19.5" customHeight="1">
      <c r="A115" s="256" t="s">
        <v>203</v>
      </c>
      <c r="B115" s="189" t="s">
        <v>403</v>
      </c>
      <c r="C115" s="184" t="s">
        <v>157</v>
      </c>
      <c r="D115" s="255">
        <v>1026.8</v>
      </c>
    </row>
    <row r="116" spans="1:4" ht="15.75" customHeight="1">
      <c r="A116" s="266" t="s">
        <v>207</v>
      </c>
      <c r="B116" s="188" t="s">
        <v>403</v>
      </c>
      <c r="C116" s="183" t="s">
        <v>250</v>
      </c>
      <c r="D116" s="253">
        <v>15</v>
      </c>
    </row>
    <row r="117" spans="1:4" ht="12.75">
      <c r="A117" s="256" t="s">
        <v>251</v>
      </c>
      <c r="B117" s="189" t="s">
        <v>403</v>
      </c>
      <c r="C117" s="184" t="s">
        <v>158</v>
      </c>
      <c r="D117" s="255">
        <v>15</v>
      </c>
    </row>
    <row r="118" spans="1:8" ht="29.25" customHeight="1">
      <c r="A118" s="187" t="s">
        <v>439</v>
      </c>
      <c r="B118" s="188" t="s">
        <v>403</v>
      </c>
      <c r="C118" s="183" t="s">
        <v>154</v>
      </c>
      <c r="D118" s="253">
        <v>443.6</v>
      </c>
      <c r="E118" s="190"/>
      <c r="F118" s="190"/>
      <c r="G118" s="191"/>
      <c r="H118" s="191"/>
    </row>
    <row r="119" spans="1:4" ht="25.5">
      <c r="A119" s="254" t="s">
        <v>200</v>
      </c>
      <c r="B119" s="189" t="s">
        <v>403</v>
      </c>
      <c r="C119" s="184" t="s">
        <v>239</v>
      </c>
      <c r="D119" s="255">
        <v>443.6</v>
      </c>
    </row>
    <row r="120" spans="1:4" ht="12.75">
      <c r="A120" s="254" t="s">
        <v>210</v>
      </c>
      <c r="B120" s="189" t="s">
        <v>403</v>
      </c>
      <c r="C120" s="184" t="s">
        <v>162</v>
      </c>
      <c r="D120" s="255">
        <v>443.6</v>
      </c>
    </row>
    <row r="121" spans="1:4" ht="12.75">
      <c r="A121" s="265" t="s">
        <v>394</v>
      </c>
      <c r="B121" s="189" t="s">
        <v>403</v>
      </c>
      <c r="C121" s="184" t="s">
        <v>240</v>
      </c>
      <c r="D121" s="255">
        <v>340.7</v>
      </c>
    </row>
    <row r="122" spans="1:4" ht="12.75">
      <c r="A122" s="265" t="s">
        <v>211</v>
      </c>
      <c r="B122" s="189" t="s">
        <v>403</v>
      </c>
      <c r="C122" s="184" t="s">
        <v>241</v>
      </c>
      <c r="D122" s="255">
        <v>50</v>
      </c>
    </row>
    <row r="123" spans="1:4" ht="30" customHeight="1">
      <c r="A123" s="254" t="s">
        <v>443</v>
      </c>
      <c r="B123" s="189" t="s">
        <v>403</v>
      </c>
      <c r="C123" s="184" t="s">
        <v>436</v>
      </c>
      <c r="D123" s="255">
        <v>52.9</v>
      </c>
    </row>
    <row r="124" spans="1:4" ht="30" customHeight="1">
      <c r="A124" s="267" t="s">
        <v>440</v>
      </c>
      <c r="B124" s="188" t="s">
        <v>404</v>
      </c>
      <c r="C124" s="259" t="s">
        <v>154</v>
      </c>
      <c r="D124" s="260">
        <v>2588.8</v>
      </c>
    </row>
    <row r="125" spans="1:4" ht="36" customHeight="1">
      <c r="A125" s="187" t="s">
        <v>441</v>
      </c>
      <c r="B125" s="189" t="s">
        <v>405</v>
      </c>
      <c r="C125" s="184" t="s">
        <v>154</v>
      </c>
      <c r="D125" s="255">
        <v>2558.8</v>
      </c>
    </row>
    <row r="126" spans="1:4" ht="25.5">
      <c r="A126" s="254" t="s">
        <v>200</v>
      </c>
      <c r="B126" s="189" t="s">
        <v>405</v>
      </c>
      <c r="C126" s="184" t="s">
        <v>239</v>
      </c>
      <c r="D126" s="255">
        <v>1636.6</v>
      </c>
    </row>
    <row r="127" spans="1:4" ht="12.75">
      <c r="A127" s="254" t="s">
        <v>210</v>
      </c>
      <c r="B127" s="189" t="s">
        <v>405</v>
      </c>
      <c r="C127" s="184" t="s">
        <v>162</v>
      </c>
      <c r="D127" s="255">
        <v>1636.6</v>
      </c>
    </row>
    <row r="128" spans="1:4" ht="12.75">
      <c r="A128" s="265" t="s">
        <v>394</v>
      </c>
      <c r="B128" s="189" t="s">
        <v>405</v>
      </c>
      <c r="C128" s="184" t="s">
        <v>240</v>
      </c>
      <c r="D128" s="255">
        <v>1141.7</v>
      </c>
    </row>
    <row r="129" spans="1:4" ht="12.75">
      <c r="A129" s="265" t="s">
        <v>211</v>
      </c>
      <c r="B129" s="189" t="s">
        <v>405</v>
      </c>
      <c r="C129" s="184" t="s">
        <v>241</v>
      </c>
      <c r="D129" s="255">
        <v>150</v>
      </c>
    </row>
    <row r="130" spans="1:4" ht="26.25" customHeight="1">
      <c r="A130" s="254" t="s">
        <v>443</v>
      </c>
      <c r="B130" s="189" t="s">
        <v>405</v>
      </c>
      <c r="C130" s="184" t="s">
        <v>436</v>
      </c>
      <c r="D130" s="255">
        <v>344.9</v>
      </c>
    </row>
    <row r="131" spans="1:4" ht="12.75">
      <c r="A131" s="254" t="s">
        <v>205</v>
      </c>
      <c r="B131" s="189" t="s">
        <v>405</v>
      </c>
      <c r="C131" s="184" t="s">
        <v>233</v>
      </c>
      <c r="D131" s="255">
        <v>952.2</v>
      </c>
    </row>
    <row r="132" spans="1:4" ht="12.75">
      <c r="A132" s="254" t="s">
        <v>202</v>
      </c>
      <c r="B132" s="189" t="s">
        <v>405</v>
      </c>
      <c r="C132" s="184" t="s">
        <v>163</v>
      </c>
      <c r="D132" s="255">
        <v>952.2</v>
      </c>
    </row>
    <row r="133" spans="1:4" ht="12.75">
      <c r="A133" s="256" t="s">
        <v>203</v>
      </c>
      <c r="B133" s="189" t="s">
        <v>405</v>
      </c>
      <c r="C133" s="184" t="s">
        <v>157</v>
      </c>
      <c r="D133" s="255">
        <v>952.2</v>
      </c>
    </row>
    <row r="134" spans="1:4" ht="12.75">
      <c r="A134" s="268"/>
      <c r="B134" s="268"/>
      <c r="C134" s="268"/>
      <c r="D134" s="268"/>
    </row>
    <row r="135" spans="1:4" ht="12.75">
      <c r="A135" s="268"/>
      <c r="B135" s="268"/>
      <c r="C135" s="268"/>
      <c r="D135" s="268"/>
    </row>
    <row r="136" spans="1:4" ht="12.75">
      <c r="A136" s="268"/>
      <c r="B136" s="268"/>
      <c r="C136" s="268"/>
      <c r="D136" s="268"/>
    </row>
    <row r="137" spans="1:4" ht="12.75">
      <c r="A137" s="268"/>
      <c r="B137" s="268"/>
      <c r="C137" s="268"/>
      <c r="D137" s="268"/>
    </row>
    <row r="138" spans="1:4" ht="12.75">
      <c r="A138" s="268"/>
      <c r="B138" s="268"/>
      <c r="C138" s="268"/>
      <c r="D138" s="268"/>
    </row>
    <row r="139" spans="1:4" ht="12.75">
      <c r="A139" s="268"/>
      <c r="B139" s="268"/>
      <c r="C139" s="268"/>
      <c r="D139" s="268"/>
    </row>
    <row r="140" spans="1:4" ht="12.75">
      <c r="A140" s="268"/>
      <c r="B140" s="268"/>
      <c r="C140" s="268"/>
      <c r="D140" s="268"/>
    </row>
    <row r="141" spans="1:4" ht="12.75">
      <c r="A141" s="268"/>
      <c r="B141" s="268"/>
      <c r="C141" s="268"/>
      <c r="D141" s="268"/>
    </row>
    <row r="142" spans="1:4" ht="12.75">
      <c r="A142" s="268"/>
      <c r="B142" s="268"/>
      <c r="C142" s="268"/>
      <c r="D142" s="268"/>
    </row>
    <row r="143" spans="1:4" ht="12.75">
      <c r="A143" s="268"/>
      <c r="B143" s="268"/>
      <c r="C143" s="268"/>
      <c r="D143" s="268"/>
    </row>
    <row r="144" spans="1:4" ht="12.75">
      <c r="A144" s="268"/>
      <c r="B144" s="268"/>
      <c r="C144" s="268"/>
      <c r="D144" s="268"/>
    </row>
    <row r="145" spans="1:4" ht="12.75">
      <c r="A145" s="268"/>
      <c r="B145" s="268"/>
      <c r="C145" s="268"/>
      <c r="D145" s="268"/>
    </row>
    <row r="146" spans="1:4" ht="12.75">
      <c r="A146" s="268"/>
      <c r="B146" s="268"/>
      <c r="C146" s="268"/>
      <c r="D146" s="268"/>
    </row>
    <row r="147" spans="1:4" ht="12.75">
      <c r="A147" s="268"/>
      <c r="B147" s="268"/>
      <c r="C147" s="268"/>
      <c r="D147" s="268"/>
    </row>
    <row r="148" spans="1:4" ht="12.75">
      <c r="A148" s="268"/>
      <c r="B148" s="268"/>
      <c r="C148" s="268"/>
      <c r="D148" s="268"/>
    </row>
    <row r="149" spans="1:4" ht="12.75">
      <c r="A149" s="268"/>
      <c r="B149" s="268"/>
      <c r="C149" s="268"/>
      <c r="D149" s="268"/>
    </row>
    <row r="150" spans="1:4" ht="12.75">
      <c r="A150" s="268"/>
      <c r="B150" s="268"/>
      <c r="C150" s="268"/>
      <c r="D150" s="268"/>
    </row>
    <row r="151" spans="1:4" ht="12.75">
      <c r="A151" s="268"/>
      <c r="B151" s="268"/>
      <c r="C151" s="268"/>
      <c r="D151" s="268"/>
    </row>
    <row r="152" spans="1:4" ht="12.75">
      <c r="A152" s="268"/>
      <c r="B152" s="268"/>
      <c r="C152" s="268"/>
      <c r="D152" s="268"/>
    </row>
    <row r="153" spans="1:4" ht="12.75">
      <c r="A153" s="268"/>
      <c r="B153" s="268"/>
      <c r="C153" s="268"/>
      <c r="D153" s="268"/>
    </row>
    <row r="154" spans="1:4" ht="12.75">
      <c r="A154" s="268"/>
      <c r="B154" s="268"/>
      <c r="C154" s="268"/>
      <c r="D154" s="268"/>
    </row>
    <row r="155" spans="1:4" ht="12.75">
      <c r="A155" s="268"/>
      <c r="B155" s="268"/>
      <c r="C155" s="268"/>
      <c r="D155" s="268"/>
    </row>
    <row r="156" spans="1:4" ht="12.75">
      <c r="A156" s="268"/>
      <c r="B156" s="268"/>
      <c r="C156" s="268"/>
      <c r="D156" s="268"/>
    </row>
    <row r="157" spans="1:4" ht="12.75">
      <c r="A157" s="268"/>
      <c r="B157" s="268"/>
      <c r="C157" s="268"/>
      <c r="D157" s="268"/>
    </row>
    <row r="158" spans="1:4" ht="12.75">
      <c r="A158" s="268"/>
      <c r="B158" s="268"/>
      <c r="C158" s="268"/>
      <c r="D158" s="268"/>
    </row>
    <row r="159" spans="1:4" ht="12.75">
      <c r="A159" s="268"/>
      <c r="B159" s="268"/>
      <c r="C159" s="268"/>
      <c r="D159" s="268"/>
    </row>
    <row r="160" spans="1:4" ht="12.75">
      <c r="A160" s="268"/>
      <c r="B160" s="268"/>
      <c r="C160" s="268"/>
      <c r="D160" s="268"/>
    </row>
    <row r="161" spans="1:4" ht="12.75">
      <c r="A161" s="268"/>
      <c r="B161" s="268"/>
      <c r="C161" s="268"/>
      <c r="D161" s="268"/>
    </row>
    <row r="162" spans="1:4" ht="12.75">
      <c r="A162" s="268"/>
      <c r="B162" s="268"/>
      <c r="C162" s="268"/>
      <c r="D162" s="268"/>
    </row>
    <row r="163" spans="1:4" ht="12.75">
      <c r="A163" s="268"/>
      <c r="B163" s="268"/>
      <c r="C163" s="268"/>
      <c r="D163" s="268"/>
    </row>
    <row r="164" spans="1:4" ht="12.75">
      <c r="A164" s="268"/>
      <c r="B164" s="268"/>
      <c r="C164" s="268"/>
      <c r="D164" s="268"/>
    </row>
    <row r="165" spans="1:4" ht="12.75">
      <c r="A165" s="268"/>
      <c r="B165" s="268"/>
      <c r="C165" s="268"/>
      <c r="D165" s="268"/>
    </row>
    <row r="166" spans="1:4" ht="12.75">
      <c r="A166" s="268"/>
      <c r="B166" s="268"/>
      <c r="C166" s="268"/>
      <c r="D166" s="268"/>
    </row>
    <row r="167" spans="1:4" ht="12.75">
      <c r="A167" s="268"/>
      <c r="B167" s="268"/>
      <c r="C167" s="268"/>
      <c r="D167" s="268"/>
    </row>
    <row r="168" spans="1:4" ht="12.75">
      <c r="A168" s="268"/>
      <c r="B168" s="268"/>
      <c r="C168" s="268"/>
      <c r="D168" s="268"/>
    </row>
    <row r="169" spans="1:4" ht="12.75">
      <c r="A169" s="268"/>
      <c r="B169" s="268"/>
      <c r="C169" s="268"/>
      <c r="D169" s="268"/>
    </row>
    <row r="170" spans="1:4" ht="12.75">
      <c r="A170" s="268"/>
      <c r="B170" s="268"/>
      <c r="C170" s="268"/>
      <c r="D170" s="268"/>
    </row>
  </sheetData>
  <sheetProtection/>
  <mergeCells count="1">
    <mergeCell ref="A7:F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B165"/>
  <sheetViews>
    <sheetView tabSelected="1" zoomScalePageLayoutView="0" workbookViewId="0" topLeftCell="A1">
      <selection activeCell="Y38" sqref="Y38"/>
    </sheetView>
  </sheetViews>
  <sheetFormatPr defaultColWidth="9.140625" defaultRowHeight="15"/>
  <cols>
    <col min="1" max="3" width="9.140625" style="5" customWidth="1"/>
    <col min="4" max="4" width="17.7109375" style="5" customWidth="1"/>
    <col min="5" max="5" width="2.00390625" style="5" hidden="1" customWidth="1"/>
    <col min="6" max="6" width="9.140625" style="1" hidden="1" customWidth="1"/>
    <col min="7" max="7" width="0.5625" style="1" hidden="1" customWidth="1"/>
    <col min="8" max="8" width="9.140625" style="1" hidden="1" customWidth="1"/>
    <col min="9" max="9" width="6.140625" style="1" customWidth="1"/>
    <col min="10" max="10" width="4.140625" style="1" customWidth="1"/>
    <col min="11" max="11" width="6.57421875" style="1" customWidth="1"/>
    <col min="12" max="12" width="11.7109375" style="1" customWidth="1"/>
    <col min="13" max="13" width="7.8515625" style="1" customWidth="1"/>
    <col min="14" max="14" width="14.00390625" style="1" customWidth="1"/>
    <col min="15" max="15" width="10.421875" style="1" bestFit="1" customWidth="1"/>
    <col min="16" max="16" width="11.8515625" style="1" hidden="1" customWidth="1"/>
    <col min="17" max="17" width="10.28125" style="1" hidden="1" customWidth="1"/>
    <col min="18" max="18" width="13.140625" style="6" hidden="1" customWidth="1"/>
    <col min="19" max="19" width="11.00390625" style="1" hidden="1" customWidth="1"/>
    <col min="20" max="20" width="11.00390625" style="8" customWidth="1"/>
    <col min="21" max="16384" width="9.140625" style="1" customWidth="1"/>
  </cols>
  <sheetData>
    <row r="1" spans="1:20" s="4" customFormat="1" ht="15.75">
      <c r="A1" s="210"/>
      <c r="B1" s="210"/>
      <c r="C1" s="210"/>
      <c r="D1" s="210"/>
      <c r="E1" s="210"/>
      <c r="F1" s="162"/>
      <c r="G1" s="162"/>
      <c r="H1" s="162"/>
      <c r="I1" s="162"/>
      <c r="J1" s="162"/>
      <c r="K1" s="162"/>
      <c r="L1" s="211"/>
      <c r="M1" s="212"/>
      <c r="N1" s="269"/>
      <c r="O1" s="214" t="s">
        <v>151</v>
      </c>
      <c r="P1" s="269"/>
      <c r="Q1" s="269"/>
      <c r="R1" s="269"/>
      <c r="S1" s="214" t="s">
        <v>151</v>
      </c>
      <c r="T1" s="135"/>
    </row>
    <row r="2" spans="1:20" s="4" customFormat="1" ht="15.75">
      <c r="A2" s="210"/>
      <c r="B2" s="210"/>
      <c r="C2" s="210"/>
      <c r="D2" s="210"/>
      <c r="E2" s="210"/>
      <c r="F2" s="162"/>
      <c r="G2" s="162"/>
      <c r="H2" s="162"/>
      <c r="I2" s="162"/>
      <c r="J2" s="162"/>
      <c r="K2" s="162"/>
      <c r="L2" s="211"/>
      <c r="M2" s="212"/>
      <c r="N2" s="213"/>
      <c r="O2" s="214" t="s">
        <v>43</v>
      </c>
      <c r="P2" s="213"/>
      <c r="Q2" s="213"/>
      <c r="R2" s="213"/>
      <c r="S2" s="214" t="s">
        <v>43</v>
      </c>
      <c r="T2" s="135"/>
    </row>
    <row r="3" spans="1:20" s="4" customFormat="1" ht="15.75">
      <c r="A3" s="210"/>
      <c r="B3" s="210"/>
      <c r="C3" s="210"/>
      <c r="D3" s="210"/>
      <c r="E3" s="210"/>
      <c r="F3" s="162"/>
      <c r="G3" s="162"/>
      <c r="H3" s="162"/>
      <c r="I3" s="162"/>
      <c r="J3" s="162"/>
      <c r="K3" s="162"/>
      <c r="L3" s="211"/>
      <c r="M3" s="212"/>
      <c r="N3" s="213"/>
      <c r="O3" s="214" t="s">
        <v>44</v>
      </c>
      <c r="P3" s="213"/>
      <c r="Q3" s="213"/>
      <c r="R3" s="213"/>
      <c r="S3" s="214" t="s">
        <v>44</v>
      </c>
      <c r="T3" s="135"/>
    </row>
    <row r="4" spans="1:20" s="4" customFormat="1" ht="15.75">
      <c r="A4" s="210"/>
      <c r="B4" s="210"/>
      <c r="C4" s="210"/>
      <c r="D4" s="210"/>
      <c r="E4" s="210"/>
      <c r="F4" s="162"/>
      <c r="G4" s="162"/>
      <c r="H4" s="162"/>
      <c r="I4" s="162"/>
      <c r="J4" s="162"/>
      <c r="K4" s="162"/>
      <c r="L4" s="211"/>
      <c r="M4" s="212"/>
      <c r="N4" s="213"/>
      <c r="O4" s="214" t="s">
        <v>318</v>
      </c>
      <c r="P4" s="213"/>
      <c r="Q4" s="213"/>
      <c r="R4" s="213"/>
      <c r="S4" s="214" t="s">
        <v>318</v>
      </c>
      <c r="T4" s="135"/>
    </row>
    <row r="5" spans="1:20" s="4" customFormat="1" ht="15.75">
      <c r="A5" s="210"/>
      <c r="B5" s="210"/>
      <c r="C5" s="210"/>
      <c r="D5" s="210"/>
      <c r="E5" s="210"/>
      <c r="F5" s="162"/>
      <c r="G5" s="162"/>
      <c r="H5" s="162"/>
      <c r="I5" s="162"/>
      <c r="J5" s="162"/>
      <c r="K5" s="211"/>
      <c r="L5" s="162"/>
      <c r="M5" s="212"/>
      <c r="N5" s="212"/>
      <c r="O5" s="214" t="s">
        <v>467</v>
      </c>
      <c r="P5" s="212"/>
      <c r="Q5" s="212"/>
      <c r="R5" s="216"/>
      <c r="S5" s="214" t="s">
        <v>282</v>
      </c>
      <c r="T5" s="135"/>
    </row>
    <row r="6" spans="1:20" s="4" customFormat="1" ht="18" customHeight="1">
      <c r="A6" s="326" t="s">
        <v>263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136"/>
    </row>
    <row r="7" spans="1:20" s="4" customFormat="1" ht="51.75" customHeight="1">
      <c r="A7" s="326"/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136"/>
    </row>
    <row r="8" spans="1:20" s="4" customFormat="1" ht="19.5" customHeight="1">
      <c r="A8" s="217"/>
      <c r="B8" s="217"/>
      <c r="C8" s="217"/>
      <c r="D8" s="217"/>
      <c r="E8" s="217"/>
      <c r="F8" s="218"/>
      <c r="G8" s="218"/>
      <c r="H8" s="218"/>
      <c r="I8" s="219"/>
      <c r="J8" s="219"/>
      <c r="K8" s="219"/>
      <c r="L8" s="220"/>
      <c r="M8" s="212"/>
      <c r="N8" s="212"/>
      <c r="O8" s="223" t="s">
        <v>130</v>
      </c>
      <c r="P8" s="215"/>
      <c r="Q8" s="212"/>
      <c r="R8" s="222"/>
      <c r="S8" s="223" t="s">
        <v>130</v>
      </c>
      <c r="T8" s="137"/>
    </row>
    <row r="9" spans="1:20" ht="15" customHeight="1">
      <c r="A9" s="327" t="s">
        <v>311</v>
      </c>
      <c r="B9" s="327"/>
      <c r="C9" s="327"/>
      <c r="D9" s="327"/>
      <c r="E9" s="327"/>
      <c r="F9" s="327"/>
      <c r="G9" s="327"/>
      <c r="H9" s="224"/>
      <c r="I9" s="224" t="s">
        <v>310</v>
      </c>
      <c r="J9" s="327" t="s">
        <v>310</v>
      </c>
      <c r="K9" s="327"/>
      <c r="L9" s="327"/>
      <c r="M9" s="327"/>
      <c r="N9" s="324" t="s">
        <v>50</v>
      </c>
      <c r="O9" s="324" t="s">
        <v>258</v>
      </c>
      <c r="P9" s="324"/>
      <c r="Q9" s="324"/>
      <c r="R9" s="324"/>
      <c r="S9" s="324"/>
      <c r="T9" s="138"/>
    </row>
    <row r="10" spans="1:20" ht="15" customHeight="1">
      <c r="A10" s="327"/>
      <c r="B10" s="327"/>
      <c r="C10" s="327"/>
      <c r="D10" s="327"/>
      <c r="E10" s="327"/>
      <c r="F10" s="327"/>
      <c r="G10" s="327"/>
      <c r="H10" s="224"/>
      <c r="I10" s="224" t="s">
        <v>309</v>
      </c>
      <c r="J10" s="327" t="s">
        <v>309</v>
      </c>
      <c r="K10" s="327"/>
      <c r="L10" s="327"/>
      <c r="M10" s="327"/>
      <c r="N10" s="324"/>
      <c r="O10" s="324"/>
      <c r="P10" s="324" t="s">
        <v>188</v>
      </c>
      <c r="Q10" s="324" t="s">
        <v>258</v>
      </c>
      <c r="R10" s="324" t="s">
        <v>277</v>
      </c>
      <c r="S10" s="324" t="s">
        <v>258</v>
      </c>
      <c r="T10" s="138"/>
    </row>
    <row r="11" spans="1:20" ht="76.5" customHeight="1" thickBot="1">
      <c r="A11" s="327"/>
      <c r="B11" s="327"/>
      <c r="C11" s="327"/>
      <c r="D11" s="327"/>
      <c r="E11" s="327"/>
      <c r="F11" s="327"/>
      <c r="G11" s="327"/>
      <c r="H11" s="224"/>
      <c r="I11" s="225" t="s">
        <v>308</v>
      </c>
      <c r="J11" s="225" t="s">
        <v>307</v>
      </c>
      <c r="K11" s="225" t="s">
        <v>306</v>
      </c>
      <c r="L11" s="226" t="s">
        <v>305</v>
      </c>
      <c r="M11" s="225" t="s">
        <v>304</v>
      </c>
      <c r="N11" s="324"/>
      <c r="O11" s="324"/>
      <c r="P11" s="324"/>
      <c r="Q11" s="324"/>
      <c r="R11" s="324"/>
      <c r="S11" s="324"/>
      <c r="T11" s="138"/>
    </row>
    <row r="12" spans="1:20" ht="15.75" thickBot="1">
      <c r="A12" s="325">
        <v>1</v>
      </c>
      <c r="B12" s="325"/>
      <c r="C12" s="325"/>
      <c r="D12" s="325"/>
      <c r="E12" s="227"/>
      <c r="F12" s="228"/>
      <c r="G12" s="228"/>
      <c r="H12" s="228"/>
      <c r="I12" s="229">
        <v>2</v>
      </c>
      <c r="J12" s="229">
        <v>3</v>
      </c>
      <c r="K12" s="229">
        <v>4</v>
      </c>
      <c r="L12" s="230">
        <v>5</v>
      </c>
      <c r="M12" s="229">
        <v>6</v>
      </c>
      <c r="N12" s="229"/>
      <c r="O12" s="229">
        <v>10</v>
      </c>
      <c r="P12" s="229"/>
      <c r="Q12" s="229">
        <v>12</v>
      </c>
      <c r="R12" s="229"/>
      <c r="S12" s="231">
        <v>14</v>
      </c>
      <c r="T12" s="139"/>
    </row>
    <row r="13" spans="1:20" ht="25.5" customHeight="1">
      <c r="A13" s="303" t="s">
        <v>303</v>
      </c>
      <c r="B13" s="303"/>
      <c r="C13" s="303"/>
      <c r="D13" s="303"/>
      <c r="E13" s="303"/>
      <c r="F13" s="303"/>
      <c r="G13" s="303"/>
      <c r="H13" s="303"/>
      <c r="I13" s="179">
        <v>653</v>
      </c>
      <c r="J13" s="270">
        <v>0</v>
      </c>
      <c r="K13" s="270">
        <v>0</v>
      </c>
      <c r="L13" s="271" t="s">
        <v>385</v>
      </c>
      <c r="M13" s="179">
        <v>0</v>
      </c>
      <c r="N13" s="234">
        <v>27271.6</v>
      </c>
      <c r="O13" s="234">
        <f>O14+O57+O65+O93+O104+O126+O148+O154</f>
        <v>172.4</v>
      </c>
      <c r="P13" s="234" t="e">
        <f>P14+P57+P65+P93+P104+P126+P148+P154</f>
        <v>#REF!</v>
      </c>
      <c r="Q13" s="234" t="e">
        <f>Q14+Q57+Q65+Q93+Q104+Q126+Q148+Q154</f>
        <v>#REF!</v>
      </c>
      <c r="R13" s="234" t="e">
        <f>R14+R57+R65+R93+R104+R126+R148+R154</f>
        <v>#REF!</v>
      </c>
      <c r="S13" s="234" t="e">
        <f>S14+S57+S65+S93+S104+S126+S148+S154</f>
        <v>#REF!</v>
      </c>
      <c r="T13" s="134"/>
    </row>
    <row r="14" spans="1:21" ht="17.25" customHeight="1">
      <c r="A14" s="303" t="s">
        <v>302</v>
      </c>
      <c r="B14" s="303"/>
      <c r="C14" s="303"/>
      <c r="D14" s="303"/>
      <c r="E14" s="303"/>
      <c r="F14" s="303"/>
      <c r="G14" s="303"/>
      <c r="H14" s="303"/>
      <c r="I14" s="179">
        <v>653</v>
      </c>
      <c r="J14" s="270">
        <v>1</v>
      </c>
      <c r="K14" s="270">
        <v>0</v>
      </c>
      <c r="L14" s="272" t="s">
        <v>385</v>
      </c>
      <c r="M14" s="179">
        <v>0</v>
      </c>
      <c r="N14" s="234">
        <v>11080.3</v>
      </c>
      <c r="O14" s="234">
        <f>O15+O23+O29+O39+O44</f>
        <v>0</v>
      </c>
      <c r="P14" s="234" t="e">
        <f>P15+P23+P29+P39+P44</f>
        <v>#REF!</v>
      </c>
      <c r="Q14" s="234" t="e">
        <f>Q15+Q23+Q29+Q39+Q44</f>
        <v>#REF!</v>
      </c>
      <c r="R14" s="234" t="e">
        <f>R15+R23+R29+R39+R44</f>
        <v>#REF!</v>
      </c>
      <c r="S14" s="234" t="e">
        <f>S15+S23+S29+S39+S44</f>
        <v>#REF!</v>
      </c>
      <c r="T14" s="142"/>
      <c r="U14" s="146"/>
    </row>
    <row r="15" spans="1:21" ht="41.25" customHeight="1">
      <c r="A15" s="303" t="s">
        <v>301</v>
      </c>
      <c r="B15" s="303"/>
      <c r="C15" s="303"/>
      <c r="D15" s="303"/>
      <c r="E15" s="303"/>
      <c r="F15" s="303"/>
      <c r="G15" s="303"/>
      <c r="H15" s="303"/>
      <c r="I15" s="179">
        <v>653</v>
      </c>
      <c r="J15" s="270">
        <v>1</v>
      </c>
      <c r="K15" s="270">
        <v>2</v>
      </c>
      <c r="L15" s="272" t="s">
        <v>386</v>
      </c>
      <c r="M15" s="179">
        <v>0</v>
      </c>
      <c r="N15" s="234">
        <f aca="true" t="shared" si="0" ref="N15:S15">N17</f>
        <v>1013.5</v>
      </c>
      <c r="O15" s="234">
        <f t="shared" si="0"/>
        <v>0</v>
      </c>
      <c r="P15" s="234">
        <f t="shared" si="0"/>
        <v>1304.4011</v>
      </c>
      <c r="Q15" s="234">
        <f t="shared" si="0"/>
        <v>0</v>
      </c>
      <c r="R15" s="234">
        <f t="shared" si="0"/>
        <v>1304.4011</v>
      </c>
      <c r="S15" s="234">
        <f t="shared" si="0"/>
        <v>0</v>
      </c>
      <c r="T15" s="142"/>
      <c r="U15" s="2"/>
    </row>
    <row r="16" spans="1:21" ht="39.75" customHeight="1">
      <c r="A16" s="311" t="s">
        <v>197</v>
      </c>
      <c r="B16" s="312"/>
      <c r="C16" s="312"/>
      <c r="D16" s="313"/>
      <c r="E16" s="178"/>
      <c r="F16" s="178"/>
      <c r="G16" s="178"/>
      <c r="H16" s="178"/>
      <c r="I16" s="179">
        <v>653</v>
      </c>
      <c r="J16" s="270">
        <v>1</v>
      </c>
      <c r="K16" s="270">
        <v>2</v>
      </c>
      <c r="L16" s="272" t="s">
        <v>386</v>
      </c>
      <c r="M16" s="179">
        <v>0</v>
      </c>
      <c r="N16" s="234">
        <f aca="true" t="shared" si="1" ref="N16:S17">N17</f>
        <v>1013.5</v>
      </c>
      <c r="O16" s="234">
        <f t="shared" si="1"/>
        <v>0</v>
      </c>
      <c r="P16" s="234">
        <f t="shared" si="1"/>
        <v>1304.4011</v>
      </c>
      <c r="Q16" s="234">
        <f t="shared" si="1"/>
        <v>0</v>
      </c>
      <c r="R16" s="234">
        <f t="shared" si="1"/>
        <v>1304.4011</v>
      </c>
      <c r="S16" s="234">
        <f t="shared" si="1"/>
        <v>0</v>
      </c>
      <c r="T16" s="142"/>
      <c r="U16" s="2"/>
    </row>
    <row r="17" spans="1:21" ht="54.75" customHeight="1">
      <c r="A17" s="309" t="s">
        <v>243</v>
      </c>
      <c r="B17" s="309"/>
      <c r="C17" s="309"/>
      <c r="D17" s="309"/>
      <c r="E17" s="309"/>
      <c r="F17" s="309"/>
      <c r="G17" s="309"/>
      <c r="H17" s="309"/>
      <c r="I17" s="167">
        <v>653</v>
      </c>
      <c r="J17" s="166">
        <v>1</v>
      </c>
      <c r="K17" s="166">
        <v>2</v>
      </c>
      <c r="L17" s="192" t="s">
        <v>406</v>
      </c>
      <c r="M17" s="167">
        <v>0</v>
      </c>
      <c r="N17" s="168">
        <f>N18</f>
        <v>1013.5</v>
      </c>
      <c r="O17" s="168">
        <f t="shared" si="1"/>
        <v>0</v>
      </c>
      <c r="P17" s="168">
        <f t="shared" si="1"/>
        <v>1304.4011</v>
      </c>
      <c r="Q17" s="168">
        <f t="shared" si="1"/>
        <v>0</v>
      </c>
      <c r="R17" s="168">
        <f t="shared" si="1"/>
        <v>1304.4011</v>
      </c>
      <c r="S17" s="168">
        <f t="shared" si="1"/>
        <v>0</v>
      </c>
      <c r="T17" s="142"/>
      <c r="U17" s="2"/>
    </row>
    <row r="18" spans="1:21" s="8" customFormat="1" ht="63.75" customHeight="1">
      <c r="A18" s="309" t="s">
        <v>200</v>
      </c>
      <c r="B18" s="309"/>
      <c r="C18" s="309"/>
      <c r="D18" s="309"/>
      <c r="E18" s="309"/>
      <c r="F18" s="309"/>
      <c r="G18" s="309"/>
      <c r="H18" s="309"/>
      <c r="I18" s="167">
        <v>653</v>
      </c>
      <c r="J18" s="166">
        <v>1</v>
      </c>
      <c r="K18" s="166">
        <v>2</v>
      </c>
      <c r="L18" s="192" t="s">
        <v>406</v>
      </c>
      <c r="M18" s="167">
        <v>100</v>
      </c>
      <c r="N18" s="168">
        <f>N19</f>
        <v>1013.5</v>
      </c>
      <c r="O18" s="168">
        <f>O19</f>
        <v>0</v>
      </c>
      <c r="P18" s="168">
        <f>P19</f>
        <v>1304.4011</v>
      </c>
      <c r="Q18" s="168">
        <f>Q19</f>
        <v>0</v>
      </c>
      <c r="R18" s="168">
        <f>R19</f>
        <v>1304.4011</v>
      </c>
      <c r="S18" s="168">
        <f>S19</f>
        <v>0</v>
      </c>
      <c r="T18" s="142"/>
      <c r="U18" s="76"/>
    </row>
    <row r="19" spans="1:21" s="8" customFormat="1" ht="28.5" customHeight="1">
      <c r="A19" s="309" t="s">
        <v>201</v>
      </c>
      <c r="B19" s="309"/>
      <c r="C19" s="309"/>
      <c r="D19" s="309"/>
      <c r="E19" s="309"/>
      <c r="F19" s="309"/>
      <c r="G19" s="309"/>
      <c r="H19" s="309"/>
      <c r="I19" s="167">
        <v>653</v>
      </c>
      <c r="J19" s="166">
        <v>1</v>
      </c>
      <c r="K19" s="166">
        <v>2</v>
      </c>
      <c r="L19" s="192" t="s">
        <v>406</v>
      </c>
      <c r="M19" s="167">
        <v>120</v>
      </c>
      <c r="N19" s="168">
        <f aca="true" t="shared" si="2" ref="N19:S19">SUM(N20+N21)</f>
        <v>1013.5</v>
      </c>
      <c r="O19" s="168">
        <f t="shared" si="2"/>
        <v>0</v>
      </c>
      <c r="P19" s="168">
        <f t="shared" si="2"/>
        <v>1304.4011</v>
      </c>
      <c r="Q19" s="168">
        <f t="shared" si="2"/>
        <v>0</v>
      </c>
      <c r="R19" s="168">
        <f t="shared" si="2"/>
        <v>1304.4011</v>
      </c>
      <c r="S19" s="168">
        <f t="shared" si="2"/>
        <v>0</v>
      </c>
      <c r="T19" s="142"/>
      <c r="U19" s="145"/>
    </row>
    <row r="20" spans="1:21" ht="37.5" customHeight="1">
      <c r="A20" s="309" t="s">
        <v>146</v>
      </c>
      <c r="B20" s="309"/>
      <c r="C20" s="309"/>
      <c r="D20" s="309"/>
      <c r="E20" s="309"/>
      <c r="F20" s="309"/>
      <c r="G20" s="309"/>
      <c r="H20" s="309"/>
      <c r="I20" s="167">
        <v>653</v>
      </c>
      <c r="J20" s="166">
        <v>1</v>
      </c>
      <c r="K20" s="166">
        <v>2</v>
      </c>
      <c r="L20" s="192" t="s">
        <v>406</v>
      </c>
      <c r="M20" s="167">
        <v>121</v>
      </c>
      <c r="N20" s="168">
        <v>963.5</v>
      </c>
      <c r="O20" s="168">
        <v>0</v>
      </c>
      <c r="P20" s="168">
        <v>1254.4011</v>
      </c>
      <c r="Q20" s="168">
        <v>0</v>
      </c>
      <c r="R20" s="168">
        <v>1254.4011</v>
      </c>
      <c r="S20" s="168">
        <v>0</v>
      </c>
      <c r="T20" s="142"/>
      <c r="U20" s="2"/>
    </row>
    <row r="21" spans="1:20" ht="41.25" customHeight="1">
      <c r="A21" s="317" t="s">
        <v>147</v>
      </c>
      <c r="B21" s="317"/>
      <c r="C21" s="317"/>
      <c r="D21" s="317"/>
      <c r="E21" s="317"/>
      <c r="F21" s="198"/>
      <c r="G21" s="198"/>
      <c r="H21" s="198"/>
      <c r="I21" s="167">
        <v>653</v>
      </c>
      <c r="J21" s="166">
        <v>1</v>
      </c>
      <c r="K21" s="166">
        <v>2</v>
      </c>
      <c r="L21" s="192" t="s">
        <v>406</v>
      </c>
      <c r="M21" s="167">
        <v>122</v>
      </c>
      <c r="N21" s="168">
        <v>50</v>
      </c>
      <c r="O21" s="168">
        <v>0</v>
      </c>
      <c r="P21" s="168">
        <v>50</v>
      </c>
      <c r="Q21" s="168">
        <v>0</v>
      </c>
      <c r="R21" s="168">
        <v>50</v>
      </c>
      <c r="S21" s="168">
        <v>0</v>
      </c>
      <c r="T21" s="142"/>
    </row>
    <row r="22" spans="1:20" ht="41.25" customHeight="1">
      <c r="A22" s="306" t="s">
        <v>442</v>
      </c>
      <c r="B22" s="307"/>
      <c r="C22" s="307"/>
      <c r="D22" s="308"/>
      <c r="E22" s="199"/>
      <c r="F22" s="198"/>
      <c r="G22" s="198"/>
      <c r="H22" s="198"/>
      <c r="I22" s="167">
        <v>653</v>
      </c>
      <c r="J22" s="166">
        <v>1</v>
      </c>
      <c r="K22" s="166">
        <v>2</v>
      </c>
      <c r="L22" s="192" t="s">
        <v>406</v>
      </c>
      <c r="M22" s="167">
        <v>129</v>
      </c>
      <c r="N22" s="168">
        <v>290.9</v>
      </c>
      <c r="O22" s="168">
        <v>0</v>
      </c>
      <c r="P22" s="168"/>
      <c r="Q22" s="168"/>
      <c r="R22" s="168"/>
      <c r="S22" s="168"/>
      <c r="T22" s="142"/>
    </row>
    <row r="23" spans="1:20" ht="51" customHeight="1">
      <c r="A23" s="303" t="s">
        <v>300</v>
      </c>
      <c r="B23" s="303"/>
      <c r="C23" s="303"/>
      <c r="D23" s="303"/>
      <c r="E23" s="303"/>
      <c r="F23" s="303"/>
      <c r="G23" s="303"/>
      <c r="H23" s="303"/>
      <c r="I23" s="179">
        <v>653</v>
      </c>
      <c r="J23" s="270">
        <v>1</v>
      </c>
      <c r="K23" s="270">
        <v>3</v>
      </c>
      <c r="L23" s="272" t="s">
        <v>386</v>
      </c>
      <c r="M23" s="179">
        <v>0</v>
      </c>
      <c r="N23" s="234">
        <f aca="true" t="shared" si="3" ref="N23:S24">N24</f>
        <v>5</v>
      </c>
      <c r="O23" s="234">
        <f t="shared" si="3"/>
        <v>0</v>
      </c>
      <c r="P23" s="234">
        <f t="shared" si="3"/>
        <v>5.3</v>
      </c>
      <c r="Q23" s="234">
        <f t="shared" si="3"/>
        <v>0</v>
      </c>
      <c r="R23" s="234">
        <f t="shared" si="3"/>
        <v>5.5</v>
      </c>
      <c r="S23" s="234">
        <f t="shared" si="3"/>
        <v>0</v>
      </c>
      <c r="T23" s="142"/>
    </row>
    <row r="24" spans="1:21" ht="37.5" customHeight="1">
      <c r="A24" s="311" t="s">
        <v>197</v>
      </c>
      <c r="B24" s="312"/>
      <c r="C24" s="312"/>
      <c r="D24" s="313"/>
      <c r="E24" s="178"/>
      <c r="F24" s="178"/>
      <c r="G24" s="178"/>
      <c r="H24" s="178"/>
      <c r="I24" s="179">
        <v>653</v>
      </c>
      <c r="J24" s="270">
        <v>1</v>
      </c>
      <c r="K24" s="270">
        <v>3</v>
      </c>
      <c r="L24" s="272" t="s">
        <v>386</v>
      </c>
      <c r="M24" s="179">
        <v>0</v>
      </c>
      <c r="N24" s="234">
        <f t="shared" si="3"/>
        <v>5</v>
      </c>
      <c r="O24" s="234">
        <f t="shared" si="3"/>
        <v>0</v>
      </c>
      <c r="P24" s="234">
        <f t="shared" si="3"/>
        <v>5.3</v>
      </c>
      <c r="Q24" s="234">
        <f t="shared" si="3"/>
        <v>0</v>
      </c>
      <c r="R24" s="234">
        <f t="shared" si="3"/>
        <v>5.5</v>
      </c>
      <c r="S24" s="234">
        <f t="shared" si="3"/>
        <v>0</v>
      </c>
      <c r="T24" s="142"/>
      <c r="U24" s="2"/>
    </row>
    <row r="25" spans="1:20" ht="51.75" customHeight="1">
      <c r="A25" s="309" t="s">
        <v>244</v>
      </c>
      <c r="B25" s="309"/>
      <c r="C25" s="309"/>
      <c r="D25" s="309"/>
      <c r="E25" s="309"/>
      <c r="F25" s="309"/>
      <c r="G25" s="309"/>
      <c r="H25" s="309"/>
      <c r="I25" s="167">
        <v>653</v>
      </c>
      <c r="J25" s="166">
        <v>1</v>
      </c>
      <c r="K25" s="166">
        <v>3</v>
      </c>
      <c r="L25" s="192" t="s">
        <v>389</v>
      </c>
      <c r="M25" s="167">
        <v>0</v>
      </c>
      <c r="N25" s="168">
        <f aca="true" t="shared" si="4" ref="N25:S25">N27</f>
        <v>5</v>
      </c>
      <c r="O25" s="168">
        <f t="shared" si="4"/>
        <v>0</v>
      </c>
      <c r="P25" s="168">
        <f t="shared" si="4"/>
        <v>5.3</v>
      </c>
      <c r="Q25" s="168">
        <f t="shared" si="4"/>
        <v>0</v>
      </c>
      <c r="R25" s="168">
        <f t="shared" si="4"/>
        <v>5.5</v>
      </c>
      <c r="S25" s="168">
        <f t="shared" si="4"/>
        <v>0</v>
      </c>
      <c r="T25" s="142"/>
    </row>
    <row r="26" spans="1:20" ht="28.5" customHeight="1">
      <c r="A26" s="309" t="s">
        <v>205</v>
      </c>
      <c r="B26" s="309"/>
      <c r="C26" s="309"/>
      <c r="D26" s="309"/>
      <c r="E26" s="309"/>
      <c r="F26" s="309"/>
      <c r="G26" s="309"/>
      <c r="H26" s="309"/>
      <c r="I26" s="167">
        <v>653</v>
      </c>
      <c r="J26" s="167">
        <v>1</v>
      </c>
      <c r="K26" s="167">
        <v>3</v>
      </c>
      <c r="L26" s="193" t="s">
        <v>389</v>
      </c>
      <c r="M26" s="167">
        <v>200</v>
      </c>
      <c r="N26" s="168">
        <f aca="true" t="shared" si="5" ref="N26:S27">N27</f>
        <v>5</v>
      </c>
      <c r="O26" s="168">
        <f>O27</f>
        <v>0</v>
      </c>
      <c r="P26" s="168">
        <f>P27</f>
        <v>5.3</v>
      </c>
      <c r="Q26" s="168">
        <f>Q27</f>
        <v>0</v>
      </c>
      <c r="R26" s="168">
        <f>R27</f>
        <v>5.5</v>
      </c>
      <c r="S26" s="168">
        <f>S27</f>
        <v>0</v>
      </c>
      <c r="T26" s="142"/>
    </row>
    <row r="27" spans="1:20" s="8" customFormat="1" ht="27.75" customHeight="1">
      <c r="A27" s="309" t="s">
        <v>202</v>
      </c>
      <c r="B27" s="309"/>
      <c r="C27" s="309"/>
      <c r="D27" s="309"/>
      <c r="E27" s="309"/>
      <c r="F27" s="309"/>
      <c r="G27" s="309"/>
      <c r="H27" s="309"/>
      <c r="I27" s="167">
        <v>653</v>
      </c>
      <c r="J27" s="166">
        <v>1</v>
      </c>
      <c r="K27" s="166">
        <v>3</v>
      </c>
      <c r="L27" s="192" t="s">
        <v>389</v>
      </c>
      <c r="M27" s="167">
        <v>240</v>
      </c>
      <c r="N27" s="168">
        <f t="shared" si="5"/>
        <v>5</v>
      </c>
      <c r="O27" s="168">
        <f t="shared" si="5"/>
        <v>0</v>
      </c>
      <c r="P27" s="168">
        <f t="shared" si="5"/>
        <v>5.3</v>
      </c>
      <c r="Q27" s="168">
        <f t="shared" si="5"/>
        <v>0</v>
      </c>
      <c r="R27" s="168">
        <f t="shared" si="5"/>
        <v>5.5</v>
      </c>
      <c r="S27" s="168">
        <f t="shared" si="5"/>
        <v>0</v>
      </c>
      <c r="T27" s="142"/>
    </row>
    <row r="28" spans="1:20" ht="27.75" customHeight="1">
      <c r="A28" s="309" t="s">
        <v>203</v>
      </c>
      <c r="B28" s="309"/>
      <c r="C28" s="309"/>
      <c r="D28" s="309"/>
      <c r="E28" s="309"/>
      <c r="F28" s="309"/>
      <c r="G28" s="309"/>
      <c r="H28" s="309"/>
      <c r="I28" s="167">
        <v>653</v>
      </c>
      <c r="J28" s="166">
        <v>1</v>
      </c>
      <c r="K28" s="166">
        <v>3</v>
      </c>
      <c r="L28" s="192" t="s">
        <v>389</v>
      </c>
      <c r="M28" s="167">
        <v>244</v>
      </c>
      <c r="N28" s="168">
        <v>5</v>
      </c>
      <c r="O28" s="168">
        <v>0</v>
      </c>
      <c r="P28" s="168">
        <v>5.3</v>
      </c>
      <c r="Q28" s="168">
        <v>0</v>
      </c>
      <c r="R28" s="168">
        <v>5.5</v>
      </c>
      <c r="S28" s="168">
        <v>0</v>
      </c>
      <c r="T28" s="142"/>
    </row>
    <row r="29" spans="1:21" ht="54" customHeight="1">
      <c r="A29" s="303" t="s">
        <v>299</v>
      </c>
      <c r="B29" s="303"/>
      <c r="C29" s="303"/>
      <c r="D29" s="303"/>
      <c r="E29" s="303"/>
      <c r="F29" s="303"/>
      <c r="G29" s="303"/>
      <c r="H29" s="303"/>
      <c r="I29" s="179">
        <v>653</v>
      </c>
      <c r="J29" s="270">
        <v>1</v>
      </c>
      <c r="K29" s="270">
        <v>4</v>
      </c>
      <c r="L29" s="272" t="s">
        <v>386</v>
      </c>
      <c r="M29" s="179">
        <v>0</v>
      </c>
      <c r="N29" s="234">
        <v>3629.1</v>
      </c>
      <c r="O29" s="234">
        <v>0</v>
      </c>
      <c r="P29" s="234" t="e">
        <f aca="true" t="shared" si="6" ref="P29:S30">P30</f>
        <v>#REF!</v>
      </c>
      <c r="Q29" s="234" t="e">
        <f t="shared" si="6"/>
        <v>#REF!</v>
      </c>
      <c r="R29" s="234" t="e">
        <f t="shared" si="6"/>
        <v>#REF!</v>
      </c>
      <c r="S29" s="234" t="e">
        <f t="shared" si="6"/>
        <v>#REF!</v>
      </c>
      <c r="T29" s="142"/>
      <c r="U29" s="2"/>
    </row>
    <row r="30" spans="1:21" ht="42.75" customHeight="1">
      <c r="A30" s="311" t="s">
        <v>197</v>
      </c>
      <c r="B30" s="312"/>
      <c r="C30" s="312"/>
      <c r="D30" s="313"/>
      <c r="E30" s="178"/>
      <c r="F30" s="178"/>
      <c r="G30" s="178"/>
      <c r="H30" s="178"/>
      <c r="I30" s="179">
        <v>653</v>
      </c>
      <c r="J30" s="270">
        <v>1</v>
      </c>
      <c r="K30" s="270">
        <v>4</v>
      </c>
      <c r="L30" s="272" t="s">
        <v>386</v>
      </c>
      <c r="M30" s="179">
        <v>0</v>
      </c>
      <c r="N30" s="234">
        <v>3629.1</v>
      </c>
      <c r="O30" s="234">
        <v>0</v>
      </c>
      <c r="P30" s="234" t="e">
        <f t="shared" si="6"/>
        <v>#REF!</v>
      </c>
      <c r="Q30" s="234" t="e">
        <f t="shared" si="6"/>
        <v>#REF!</v>
      </c>
      <c r="R30" s="234" t="e">
        <f t="shared" si="6"/>
        <v>#REF!</v>
      </c>
      <c r="S30" s="234" t="e">
        <f t="shared" si="6"/>
        <v>#REF!</v>
      </c>
      <c r="T30" s="142"/>
      <c r="U30" s="2"/>
    </row>
    <row r="31" spans="1:20" ht="51.75" customHeight="1">
      <c r="A31" s="309" t="s">
        <v>245</v>
      </c>
      <c r="B31" s="309"/>
      <c r="C31" s="309"/>
      <c r="D31" s="309"/>
      <c r="E31" s="309"/>
      <c r="F31" s="309"/>
      <c r="G31" s="309"/>
      <c r="H31" s="309"/>
      <c r="I31" s="167">
        <v>653</v>
      </c>
      <c r="J31" s="166">
        <v>1</v>
      </c>
      <c r="K31" s="166">
        <v>4</v>
      </c>
      <c r="L31" s="192" t="s">
        <v>389</v>
      </c>
      <c r="M31" s="167">
        <v>0</v>
      </c>
      <c r="N31" s="168">
        <v>3111.4</v>
      </c>
      <c r="O31" s="168">
        <v>0</v>
      </c>
      <c r="P31" s="168" t="e">
        <f>P32+#REF!+P37+#REF!</f>
        <v>#REF!</v>
      </c>
      <c r="Q31" s="168" t="e">
        <f>Q32+#REF!+Q37+#REF!</f>
        <v>#REF!</v>
      </c>
      <c r="R31" s="168" t="e">
        <f>R32+#REF!+R37+#REF!</f>
        <v>#REF!</v>
      </c>
      <c r="S31" s="168" t="e">
        <f>S32+#REF!+S37+#REF!</f>
        <v>#REF!</v>
      </c>
      <c r="T31" s="142"/>
    </row>
    <row r="32" spans="1:21" s="8" customFormat="1" ht="61.5" customHeight="1">
      <c r="A32" s="309" t="s">
        <v>200</v>
      </c>
      <c r="B32" s="309"/>
      <c r="C32" s="309"/>
      <c r="D32" s="309"/>
      <c r="E32" s="309"/>
      <c r="F32" s="309"/>
      <c r="G32" s="309"/>
      <c r="H32" s="309"/>
      <c r="I32" s="167">
        <v>653</v>
      </c>
      <c r="J32" s="166">
        <v>1</v>
      </c>
      <c r="K32" s="166">
        <v>4</v>
      </c>
      <c r="L32" s="192" t="s">
        <v>389</v>
      </c>
      <c r="M32" s="167">
        <v>100</v>
      </c>
      <c r="N32" s="168">
        <f aca="true" t="shared" si="7" ref="N32:S32">N33</f>
        <v>3111.4011</v>
      </c>
      <c r="O32" s="168">
        <f t="shared" si="7"/>
        <v>0</v>
      </c>
      <c r="P32" s="168">
        <f t="shared" si="7"/>
        <v>3150.66148</v>
      </c>
      <c r="Q32" s="168">
        <f t="shared" si="7"/>
        <v>0</v>
      </c>
      <c r="R32" s="168">
        <f t="shared" si="7"/>
        <v>3111.4011</v>
      </c>
      <c r="S32" s="168">
        <f t="shared" si="7"/>
        <v>0</v>
      </c>
      <c r="T32" s="142"/>
      <c r="U32" s="145"/>
    </row>
    <row r="33" spans="1:21" s="8" customFormat="1" ht="26.25" customHeight="1">
      <c r="A33" s="309" t="s">
        <v>201</v>
      </c>
      <c r="B33" s="309"/>
      <c r="C33" s="309"/>
      <c r="D33" s="309"/>
      <c r="E33" s="309"/>
      <c r="F33" s="309"/>
      <c r="G33" s="309"/>
      <c r="H33" s="309"/>
      <c r="I33" s="167">
        <v>653</v>
      </c>
      <c r="J33" s="166">
        <v>1</v>
      </c>
      <c r="K33" s="166">
        <v>4</v>
      </c>
      <c r="L33" s="192" t="s">
        <v>389</v>
      </c>
      <c r="M33" s="167">
        <v>120</v>
      </c>
      <c r="N33" s="168">
        <f aca="true" t="shared" si="8" ref="N33:S33">SUM(N34+N35)</f>
        <v>3111.4011</v>
      </c>
      <c r="O33" s="168">
        <f t="shared" si="8"/>
        <v>0</v>
      </c>
      <c r="P33" s="168">
        <f t="shared" si="8"/>
        <v>3150.66148</v>
      </c>
      <c r="Q33" s="168">
        <f t="shared" si="8"/>
        <v>0</v>
      </c>
      <c r="R33" s="168">
        <f t="shared" si="8"/>
        <v>3111.4011</v>
      </c>
      <c r="S33" s="168">
        <f t="shared" si="8"/>
        <v>0</v>
      </c>
      <c r="T33" s="142"/>
      <c r="U33" s="145"/>
    </row>
    <row r="34" spans="1:20" ht="38.25" customHeight="1">
      <c r="A34" s="309" t="s">
        <v>387</v>
      </c>
      <c r="B34" s="309"/>
      <c r="C34" s="309"/>
      <c r="D34" s="309"/>
      <c r="E34" s="309"/>
      <c r="F34" s="309"/>
      <c r="G34" s="309"/>
      <c r="H34" s="309"/>
      <c r="I34" s="167">
        <v>653</v>
      </c>
      <c r="J34" s="166">
        <v>1</v>
      </c>
      <c r="K34" s="166">
        <v>4</v>
      </c>
      <c r="L34" s="192" t="s">
        <v>389</v>
      </c>
      <c r="M34" s="167">
        <v>121</v>
      </c>
      <c r="N34" s="168">
        <f>3381.05938-419.65828</f>
        <v>2961.4011</v>
      </c>
      <c r="O34" s="168">
        <v>0</v>
      </c>
      <c r="P34" s="168">
        <f>3381.05938-419.65828</f>
        <v>2961.4011</v>
      </c>
      <c r="Q34" s="168">
        <v>0</v>
      </c>
      <c r="R34" s="168">
        <f>3381.05938-419.65828</f>
        <v>2961.4011</v>
      </c>
      <c r="S34" s="168">
        <v>0</v>
      </c>
      <c r="T34" s="142"/>
    </row>
    <row r="35" spans="1:20" ht="38.25" customHeight="1">
      <c r="A35" s="317" t="s">
        <v>147</v>
      </c>
      <c r="B35" s="317"/>
      <c r="C35" s="317"/>
      <c r="D35" s="317"/>
      <c r="E35" s="317"/>
      <c r="F35" s="198"/>
      <c r="G35" s="198"/>
      <c r="H35" s="198"/>
      <c r="I35" s="167">
        <v>653</v>
      </c>
      <c r="J35" s="166">
        <v>1</v>
      </c>
      <c r="K35" s="166">
        <v>4</v>
      </c>
      <c r="L35" s="192" t="s">
        <v>389</v>
      </c>
      <c r="M35" s="167">
        <v>122</v>
      </c>
      <c r="N35" s="168">
        <v>150</v>
      </c>
      <c r="O35" s="168">
        <v>0</v>
      </c>
      <c r="P35" s="168">
        <f>86.66038+102.6</f>
        <v>189.26038</v>
      </c>
      <c r="Q35" s="168">
        <v>0</v>
      </c>
      <c r="R35" s="168">
        <v>150</v>
      </c>
      <c r="S35" s="168">
        <v>0</v>
      </c>
      <c r="T35" s="142"/>
    </row>
    <row r="36" spans="1:20" ht="38.25" customHeight="1">
      <c r="A36" s="306" t="s">
        <v>442</v>
      </c>
      <c r="B36" s="307"/>
      <c r="C36" s="307"/>
      <c r="D36" s="308"/>
      <c r="E36" s="199"/>
      <c r="F36" s="198"/>
      <c r="G36" s="198"/>
      <c r="H36" s="198"/>
      <c r="I36" s="167">
        <v>653</v>
      </c>
      <c r="J36" s="166">
        <v>1</v>
      </c>
      <c r="K36" s="166">
        <v>2</v>
      </c>
      <c r="L36" s="192" t="s">
        <v>406</v>
      </c>
      <c r="M36" s="167">
        <v>129</v>
      </c>
      <c r="N36" s="168">
        <v>686.9</v>
      </c>
      <c r="O36" s="168">
        <v>0</v>
      </c>
      <c r="P36" s="168"/>
      <c r="Q36" s="168"/>
      <c r="R36" s="168"/>
      <c r="S36" s="168"/>
      <c r="T36" s="142"/>
    </row>
    <row r="37" spans="1:20" ht="15.75" customHeight="1">
      <c r="A37" s="309" t="s">
        <v>204</v>
      </c>
      <c r="B37" s="309"/>
      <c r="C37" s="309"/>
      <c r="D37" s="309"/>
      <c r="E37" s="309"/>
      <c r="F37" s="198"/>
      <c r="G37" s="198"/>
      <c r="H37" s="198"/>
      <c r="I37" s="167">
        <v>653</v>
      </c>
      <c r="J37" s="166">
        <v>1</v>
      </c>
      <c r="K37" s="166">
        <v>4</v>
      </c>
      <c r="L37" s="192" t="s">
        <v>408</v>
      </c>
      <c r="M37" s="167">
        <v>500</v>
      </c>
      <c r="N37" s="168">
        <f aca="true" t="shared" si="9" ref="N37:S37">N38</f>
        <v>517.7</v>
      </c>
      <c r="O37" s="168">
        <f t="shared" si="9"/>
        <v>0</v>
      </c>
      <c r="P37" s="168">
        <f t="shared" si="9"/>
        <v>0</v>
      </c>
      <c r="Q37" s="168">
        <f t="shared" si="9"/>
        <v>0</v>
      </c>
      <c r="R37" s="168">
        <f t="shared" si="9"/>
        <v>0</v>
      </c>
      <c r="S37" s="168">
        <f t="shared" si="9"/>
        <v>0</v>
      </c>
      <c r="T37" s="142"/>
    </row>
    <row r="38" spans="1:20" ht="15.75" customHeight="1">
      <c r="A38" s="309" t="s">
        <v>298</v>
      </c>
      <c r="B38" s="309"/>
      <c r="C38" s="309"/>
      <c r="D38" s="309"/>
      <c r="E38" s="309"/>
      <c r="F38" s="309"/>
      <c r="G38" s="309"/>
      <c r="H38" s="309"/>
      <c r="I38" s="167">
        <v>653</v>
      </c>
      <c r="J38" s="166">
        <v>1</v>
      </c>
      <c r="K38" s="166">
        <v>4</v>
      </c>
      <c r="L38" s="192" t="s">
        <v>408</v>
      </c>
      <c r="M38" s="167">
        <v>540</v>
      </c>
      <c r="N38" s="168">
        <v>517.7</v>
      </c>
      <c r="O38" s="168">
        <v>0</v>
      </c>
      <c r="P38" s="168">
        <v>0</v>
      </c>
      <c r="Q38" s="168">
        <v>0</v>
      </c>
      <c r="R38" s="239">
        <v>0</v>
      </c>
      <c r="S38" s="168">
        <v>0</v>
      </c>
      <c r="T38" s="142"/>
    </row>
    <row r="39" spans="1:20" ht="19.5" customHeight="1">
      <c r="A39" s="303" t="s">
        <v>297</v>
      </c>
      <c r="B39" s="303"/>
      <c r="C39" s="303"/>
      <c r="D39" s="303"/>
      <c r="E39" s="303"/>
      <c r="F39" s="303"/>
      <c r="G39" s="303"/>
      <c r="H39" s="303"/>
      <c r="I39" s="179">
        <v>653</v>
      </c>
      <c r="J39" s="270">
        <v>1</v>
      </c>
      <c r="K39" s="270">
        <v>11</v>
      </c>
      <c r="L39" s="272" t="s">
        <v>410</v>
      </c>
      <c r="M39" s="179">
        <v>0</v>
      </c>
      <c r="N39" s="234">
        <f aca="true" t="shared" si="10" ref="N39:S39">N41</f>
        <v>150</v>
      </c>
      <c r="O39" s="234">
        <f t="shared" si="10"/>
        <v>0</v>
      </c>
      <c r="P39" s="234">
        <f t="shared" si="10"/>
        <v>150</v>
      </c>
      <c r="Q39" s="234">
        <f t="shared" si="10"/>
        <v>0</v>
      </c>
      <c r="R39" s="234">
        <f t="shared" si="10"/>
        <v>150</v>
      </c>
      <c r="S39" s="234">
        <f t="shared" si="10"/>
        <v>0</v>
      </c>
      <c r="T39" s="142"/>
    </row>
    <row r="40" spans="1:21" ht="39.75" customHeight="1">
      <c r="A40" s="304" t="s">
        <v>198</v>
      </c>
      <c r="B40" s="304"/>
      <c r="C40" s="304"/>
      <c r="D40" s="304"/>
      <c r="E40" s="178"/>
      <c r="F40" s="178"/>
      <c r="G40" s="178"/>
      <c r="H40" s="178"/>
      <c r="I40" s="179">
        <v>653</v>
      </c>
      <c r="J40" s="270">
        <v>1</v>
      </c>
      <c r="K40" s="270">
        <v>11</v>
      </c>
      <c r="L40" s="272" t="s">
        <v>444</v>
      </c>
      <c r="M40" s="179">
        <v>0</v>
      </c>
      <c r="N40" s="234">
        <f aca="true" t="shared" si="11" ref="N40:S42">N41</f>
        <v>150</v>
      </c>
      <c r="O40" s="234">
        <f t="shared" si="11"/>
        <v>0</v>
      </c>
      <c r="P40" s="234">
        <f t="shared" si="11"/>
        <v>150</v>
      </c>
      <c r="Q40" s="234">
        <f t="shared" si="11"/>
        <v>0</v>
      </c>
      <c r="R40" s="234">
        <f t="shared" si="11"/>
        <v>150</v>
      </c>
      <c r="S40" s="234">
        <f t="shared" si="11"/>
        <v>0</v>
      </c>
      <c r="T40" s="142"/>
      <c r="U40" s="2"/>
    </row>
    <row r="41" spans="1:20" ht="39.75" customHeight="1">
      <c r="A41" s="309" t="s">
        <v>445</v>
      </c>
      <c r="B41" s="309"/>
      <c r="C41" s="309"/>
      <c r="D41" s="309"/>
      <c r="E41" s="309"/>
      <c r="F41" s="309"/>
      <c r="G41" s="309"/>
      <c r="H41" s="309"/>
      <c r="I41" s="167">
        <v>653</v>
      </c>
      <c r="J41" s="166">
        <v>1</v>
      </c>
      <c r="K41" s="166">
        <v>11</v>
      </c>
      <c r="L41" s="192" t="s">
        <v>412</v>
      </c>
      <c r="M41" s="167">
        <v>0</v>
      </c>
      <c r="N41" s="168">
        <f t="shared" si="11"/>
        <v>150</v>
      </c>
      <c r="O41" s="168">
        <f t="shared" si="11"/>
        <v>0</v>
      </c>
      <c r="P41" s="168">
        <f t="shared" si="11"/>
        <v>150</v>
      </c>
      <c r="Q41" s="168">
        <f t="shared" si="11"/>
        <v>0</v>
      </c>
      <c r="R41" s="168">
        <f t="shared" si="11"/>
        <v>150</v>
      </c>
      <c r="S41" s="168">
        <f t="shared" si="11"/>
        <v>0</v>
      </c>
      <c r="T41" s="142"/>
    </row>
    <row r="42" spans="1:20" ht="16.5" customHeight="1">
      <c r="A42" s="309" t="s">
        <v>206</v>
      </c>
      <c r="B42" s="309"/>
      <c r="C42" s="309"/>
      <c r="D42" s="309"/>
      <c r="E42" s="309"/>
      <c r="F42" s="198"/>
      <c r="G42" s="198"/>
      <c r="H42" s="198"/>
      <c r="I42" s="167">
        <v>653</v>
      </c>
      <c r="J42" s="166">
        <v>1</v>
      </c>
      <c r="K42" s="166">
        <v>11</v>
      </c>
      <c r="L42" s="192" t="s">
        <v>412</v>
      </c>
      <c r="M42" s="167">
        <v>800</v>
      </c>
      <c r="N42" s="168">
        <f t="shared" si="11"/>
        <v>150</v>
      </c>
      <c r="O42" s="168">
        <f t="shared" si="11"/>
        <v>0</v>
      </c>
      <c r="P42" s="168">
        <f t="shared" si="11"/>
        <v>150</v>
      </c>
      <c r="Q42" s="168">
        <f t="shared" si="11"/>
        <v>0</v>
      </c>
      <c r="R42" s="168">
        <f t="shared" si="11"/>
        <v>150</v>
      </c>
      <c r="S42" s="168">
        <f t="shared" si="11"/>
        <v>0</v>
      </c>
      <c r="T42" s="142"/>
    </row>
    <row r="43" spans="1:20" ht="16.5" customHeight="1">
      <c r="A43" s="309" t="s">
        <v>315</v>
      </c>
      <c r="B43" s="309"/>
      <c r="C43" s="309"/>
      <c r="D43" s="309"/>
      <c r="E43" s="309"/>
      <c r="F43" s="309"/>
      <c r="G43" s="309"/>
      <c r="H43" s="309"/>
      <c r="I43" s="167">
        <v>653</v>
      </c>
      <c r="J43" s="166">
        <v>1</v>
      </c>
      <c r="K43" s="166">
        <v>11</v>
      </c>
      <c r="L43" s="192" t="s">
        <v>412</v>
      </c>
      <c r="M43" s="167">
        <v>870</v>
      </c>
      <c r="N43" s="168">
        <f>150000/1000</f>
        <v>150</v>
      </c>
      <c r="O43" s="168">
        <v>0</v>
      </c>
      <c r="P43" s="168">
        <v>150</v>
      </c>
      <c r="Q43" s="168">
        <v>0</v>
      </c>
      <c r="R43" s="239">
        <v>150</v>
      </c>
      <c r="S43" s="168">
        <v>0</v>
      </c>
      <c r="T43" s="142"/>
    </row>
    <row r="44" spans="1:20" ht="19.5" customHeight="1">
      <c r="A44" s="303" t="s">
        <v>296</v>
      </c>
      <c r="B44" s="303"/>
      <c r="C44" s="303"/>
      <c r="D44" s="303"/>
      <c r="E44" s="303"/>
      <c r="F44" s="303"/>
      <c r="G44" s="303"/>
      <c r="H44" s="303"/>
      <c r="I44" s="179">
        <v>653</v>
      </c>
      <c r="J44" s="270">
        <v>1</v>
      </c>
      <c r="K44" s="270">
        <v>13</v>
      </c>
      <c r="L44" s="272" t="s">
        <v>385</v>
      </c>
      <c r="M44" s="179">
        <v>0</v>
      </c>
      <c r="N44" s="234">
        <v>5991.8</v>
      </c>
      <c r="O44" s="234">
        <f>O46</f>
        <v>0</v>
      </c>
      <c r="P44" s="234" t="e">
        <f>P46</f>
        <v>#REF!</v>
      </c>
      <c r="Q44" s="234" t="e">
        <f>Q46</f>
        <v>#REF!</v>
      </c>
      <c r="R44" s="234" t="e">
        <f>R46</f>
        <v>#REF!</v>
      </c>
      <c r="S44" s="234" t="e">
        <f>S46</f>
        <v>#REF!</v>
      </c>
      <c r="T44" s="142"/>
    </row>
    <row r="45" spans="1:21" ht="40.5" customHeight="1">
      <c r="A45" s="304" t="s">
        <v>199</v>
      </c>
      <c r="B45" s="304"/>
      <c r="C45" s="304"/>
      <c r="D45" s="304"/>
      <c r="E45" s="178"/>
      <c r="F45" s="178"/>
      <c r="G45" s="178"/>
      <c r="H45" s="178"/>
      <c r="I45" s="179">
        <v>653</v>
      </c>
      <c r="J45" s="270">
        <v>1</v>
      </c>
      <c r="K45" s="270">
        <v>13</v>
      </c>
      <c r="L45" s="272" t="s">
        <v>446</v>
      </c>
      <c r="M45" s="179">
        <v>0</v>
      </c>
      <c r="N45" s="234">
        <v>5991.8</v>
      </c>
      <c r="O45" s="234">
        <v>0</v>
      </c>
      <c r="P45" s="234" t="e">
        <f>#REF!+P51</f>
        <v>#REF!</v>
      </c>
      <c r="Q45" s="234" t="e">
        <f>#REF!+Q51</f>
        <v>#REF!</v>
      </c>
      <c r="R45" s="234" t="e">
        <f>#REF!+R51</f>
        <v>#REF!</v>
      </c>
      <c r="S45" s="234" t="e">
        <f>#REF!+S51</f>
        <v>#REF!</v>
      </c>
      <c r="T45" s="142"/>
      <c r="U45" s="2"/>
    </row>
    <row r="46" spans="1:20" ht="39.75" customHeight="1">
      <c r="A46" s="309" t="s">
        <v>256</v>
      </c>
      <c r="B46" s="309"/>
      <c r="C46" s="309"/>
      <c r="D46" s="309"/>
      <c r="E46" s="309"/>
      <c r="F46" s="309"/>
      <c r="G46" s="309"/>
      <c r="H46" s="309"/>
      <c r="I46" s="167">
        <v>653</v>
      </c>
      <c r="J46" s="166">
        <v>1</v>
      </c>
      <c r="K46" s="166">
        <v>13</v>
      </c>
      <c r="L46" s="192" t="s">
        <v>393</v>
      </c>
      <c r="M46" s="167">
        <v>0</v>
      </c>
      <c r="N46" s="168">
        <v>5991.8</v>
      </c>
      <c r="O46" s="168">
        <v>0</v>
      </c>
      <c r="P46" s="168" t="e">
        <f>#REF!+P51+#REF!</f>
        <v>#REF!</v>
      </c>
      <c r="Q46" s="168" t="e">
        <f>#REF!+Q51+#REF!</f>
        <v>#REF!</v>
      </c>
      <c r="R46" s="168" t="e">
        <f>#REF!+R51+#REF!</f>
        <v>#REF!</v>
      </c>
      <c r="S46" s="168" t="e">
        <f>#REF!+S51+#REF!</f>
        <v>#REF!</v>
      </c>
      <c r="T46" s="142"/>
    </row>
    <row r="47" spans="1:21" s="8" customFormat="1" ht="19.5" customHeight="1">
      <c r="A47" s="309" t="s">
        <v>210</v>
      </c>
      <c r="B47" s="309"/>
      <c r="C47" s="309"/>
      <c r="D47" s="309"/>
      <c r="E47" s="309"/>
      <c r="F47" s="309"/>
      <c r="G47" s="309"/>
      <c r="H47" s="309"/>
      <c r="I47" s="167">
        <v>653</v>
      </c>
      <c r="J47" s="166">
        <v>1</v>
      </c>
      <c r="K47" s="166">
        <v>13</v>
      </c>
      <c r="L47" s="192" t="s">
        <v>393</v>
      </c>
      <c r="M47" s="167">
        <v>110</v>
      </c>
      <c r="N47" s="168">
        <v>5296.2</v>
      </c>
      <c r="O47" s="168">
        <f>SUM(O48+O49)</f>
        <v>0</v>
      </c>
      <c r="P47" s="168">
        <f>SUM(P48+P49)</f>
        <v>6285.08588</v>
      </c>
      <c r="Q47" s="168">
        <f>SUM(Q48+Q49)</f>
        <v>0</v>
      </c>
      <c r="R47" s="168">
        <f>SUM(R48+R49)</f>
        <v>6135.08588</v>
      </c>
      <c r="S47" s="168">
        <f>SUM(S48+S49)</f>
        <v>0</v>
      </c>
      <c r="T47" s="142"/>
      <c r="U47" s="145"/>
    </row>
    <row r="48" spans="1:20" ht="25.5" customHeight="1">
      <c r="A48" s="309" t="s">
        <v>394</v>
      </c>
      <c r="B48" s="309"/>
      <c r="C48" s="309"/>
      <c r="D48" s="309"/>
      <c r="E48" s="309"/>
      <c r="F48" s="309"/>
      <c r="G48" s="309"/>
      <c r="H48" s="309"/>
      <c r="I48" s="167">
        <v>653</v>
      </c>
      <c r="J48" s="166">
        <v>1</v>
      </c>
      <c r="K48" s="166">
        <v>13</v>
      </c>
      <c r="L48" s="192" t="s">
        <v>393</v>
      </c>
      <c r="M48" s="167">
        <v>111</v>
      </c>
      <c r="N48" s="168">
        <v>3952.5</v>
      </c>
      <c r="O48" s="168">
        <v>0</v>
      </c>
      <c r="P48" s="168">
        <v>5985.08588</v>
      </c>
      <c r="Q48" s="168">
        <v>0</v>
      </c>
      <c r="R48" s="168">
        <f>5985.08588</f>
        <v>5985.08588</v>
      </c>
      <c r="S48" s="168">
        <v>0</v>
      </c>
      <c r="T48" s="142"/>
    </row>
    <row r="49" spans="1:20" ht="27" customHeight="1">
      <c r="A49" s="309" t="s">
        <v>211</v>
      </c>
      <c r="B49" s="309"/>
      <c r="C49" s="309"/>
      <c r="D49" s="309"/>
      <c r="E49" s="309"/>
      <c r="F49" s="309"/>
      <c r="G49" s="309"/>
      <c r="H49" s="309"/>
      <c r="I49" s="167">
        <v>653</v>
      </c>
      <c r="J49" s="166">
        <v>1</v>
      </c>
      <c r="K49" s="166">
        <v>13</v>
      </c>
      <c r="L49" s="192" t="s">
        <v>393</v>
      </c>
      <c r="M49" s="167">
        <v>112</v>
      </c>
      <c r="N49" s="168">
        <f>150</f>
        <v>150</v>
      </c>
      <c r="O49" s="168">
        <v>0</v>
      </c>
      <c r="P49" s="168">
        <v>300</v>
      </c>
      <c r="Q49" s="168">
        <v>0</v>
      </c>
      <c r="R49" s="168">
        <v>150</v>
      </c>
      <c r="S49" s="168">
        <v>0</v>
      </c>
      <c r="T49" s="142"/>
    </row>
    <row r="50" spans="1:20" ht="44.25" customHeight="1">
      <c r="A50" s="306" t="s">
        <v>447</v>
      </c>
      <c r="B50" s="307"/>
      <c r="C50" s="307"/>
      <c r="D50" s="308"/>
      <c r="E50" s="198"/>
      <c r="F50" s="198"/>
      <c r="G50" s="198"/>
      <c r="H50" s="198"/>
      <c r="I50" s="167">
        <v>653</v>
      </c>
      <c r="J50" s="166">
        <v>1</v>
      </c>
      <c r="K50" s="166">
        <v>13</v>
      </c>
      <c r="L50" s="192" t="s">
        <v>393</v>
      </c>
      <c r="M50" s="167">
        <v>119</v>
      </c>
      <c r="N50" s="168">
        <v>1193.7</v>
      </c>
      <c r="O50" s="168">
        <v>0</v>
      </c>
      <c r="P50" s="168"/>
      <c r="Q50" s="168"/>
      <c r="R50" s="168"/>
      <c r="S50" s="168"/>
      <c r="T50" s="142"/>
    </row>
    <row r="51" spans="1:21" s="8" customFormat="1" ht="29.25" customHeight="1">
      <c r="A51" s="309" t="s">
        <v>205</v>
      </c>
      <c r="B51" s="309"/>
      <c r="C51" s="309"/>
      <c r="D51" s="309"/>
      <c r="E51" s="309"/>
      <c r="F51" s="309"/>
      <c r="G51" s="309"/>
      <c r="H51" s="309"/>
      <c r="I51" s="167">
        <v>653</v>
      </c>
      <c r="J51" s="166">
        <v>1</v>
      </c>
      <c r="K51" s="166">
        <v>13</v>
      </c>
      <c r="L51" s="192" t="s">
        <v>393</v>
      </c>
      <c r="M51" s="167">
        <v>200</v>
      </c>
      <c r="N51" s="168">
        <v>670.6</v>
      </c>
      <c r="O51" s="168">
        <f>O52</f>
        <v>0</v>
      </c>
      <c r="P51" s="168">
        <f>P52</f>
        <v>860.16633</v>
      </c>
      <c r="Q51" s="168">
        <f>Q52</f>
        <v>0</v>
      </c>
      <c r="R51" s="168">
        <f>R52</f>
        <v>789.4</v>
      </c>
      <c r="S51" s="168">
        <f>S52</f>
        <v>0</v>
      </c>
      <c r="T51" s="142"/>
      <c r="U51" s="145"/>
    </row>
    <row r="52" spans="1:21" s="8" customFormat="1" ht="29.25" customHeight="1">
      <c r="A52" s="309" t="s">
        <v>202</v>
      </c>
      <c r="B52" s="309"/>
      <c r="C52" s="309"/>
      <c r="D52" s="309"/>
      <c r="E52" s="309"/>
      <c r="F52" s="309"/>
      <c r="G52" s="309"/>
      <c r="H52" s="309"/>
      <c r="I52" s="167">
        <v>653</v>
      </c>
      <c r="J52" s="166">
        <v>1</v>
      </c>
      <c r="K52" s="166">
        <v>13</v>
      </c>
      <c r="L52" s="192" t="s">
        <v>393</v>
      </c>
      <c r="M52" s="167">
        <v>240</v>
      </c>
      <c r="N52" s="168">
        <v>670.6</v>
      </c>
      <c r="O52" s="168">
        <f>O53+O54</f>
        <v>0</v>
      </c>
      <c r="P52" s="168">
        <f>P53+P54</f>
        <v>860.16633</v>
      </c>
      <c r="Q52" s="168">
        <f>Q53+Q54</f>
        <v>0</v>
      </c>
      <c r="R52" s="168">
        <f>R53+R54</f>
        <v>789.4</v>
      </c>
      <c r="S52" s="168">
        <f>S53+S54</f>
        <v>0</v>
      </c>
      <c r="T52" s="142"/>
      <c r="U52" s="145"/>
    </row>
    <row r="53" spans="1:20" ht="27.75" customHeight="1">
      <c r="A53" s="309" t="s">
        <v>316</v>
      </c>
      <c r="B53" s="309"/>
      <c r="C53" s="309"/>
      <c r="D53" s="309"/>
      <c r="E53" s="309"/>
      <c r="F53" s="309"/>
      <c r="G53" s="309"/>
      <c r="H53" s="309"/>
      <c r="I53" s="167">
        <v>653</v>
      </c>
      <c r="J53" s="166">
        <v>1</v>
      </c>
      <c r="K53" s="166">
        <v>13</v>
      </c>
      <c r="L53" s="192" t="s">
        <v>393</v>
      </c>
      <c r="M53" s="167">
        <v>242</v>
      </c>
      <c r="N53" s="168">
        <f>55.444+127.956</f>
        <v>183.4</v>
      </c>
      <c r="O53" s="168">
        <v>0</v>
      </c>
      <c r="P53" s="168">
        <f>480.33266*0.5-30</f>
        <v>210.16633</v>
      </c>
      <c r="Q53" s="168">
        <v>0</v>
      </c>
      <c r="R53" s="168">
        <v>183.4</v>
      </c>
      <c r="S53" s="168">
        <v>0</v>
      </c>
      <c r="T53" s="142"/>
    </row>
    <row r="54" spans="1:20" ht="28.5" customHeight="1">
      <c r="A54" s="309" t="s">
        <v>203</v>
      </c>
      <c r="B54" s="309"/>
      <c r="C54" s="309"/>
      <c r="D54" s="309"/>
      <c r="E54" s="309"/>
      <c r="F54" s="309"/>
      <c r="G54" s="309"/>
      <c r="H54" s="309"/>
      <c r="I54" s="167">
        <v>653</v>
      </c>
      <c r="J54" s="166">
        <v>1</v>
      </c>
      <c r="K54" s="166">
        <v>13</v>
      </c>
      <c r="L54" s="192" t="s">
        <v>393</v>
      </c>
      <c r="M54" s="167">
        <v>244</v>
      </c>
      <c r="N54" s="168">
        <v>487.2</v>
      </c>
      <c r="O54" s="168">
        <v>0</v>
      </c>
      <c r="P54" s="168">
        <v>650</v>
      </c>
      <c r="Q54" s="168">
        <v>0</v>
      </c>
      <c r="R54" s="168">
        <f>513.4+92.6</f>
        <v>606</v>
      </c>
      <c r="S54" s="168">
        <v>0</v>
      </c>
      <c r="T54" s="142"/>
    </row>
    <row r="55" spans="1:20" ht="15" customHeight="1">
      <c r="A55" s="321" t="s">
        <v>207</v>
      </c>
      <c r="B55" s="307"/>
      <c r="C55" s="307"/>
      <c r="D55" s="308"/>
      <c r="E55" s="198"/>
      <c r="F55" s="198"/>
      <c r="G55" s="198"/>
      <c r="H55" s="198"/>
      <c r="I55" s="167">
        <v>653</v>
      </c>
      <c r="J55" s="166">
        <v>1</v>
      </c>
      <c r="K55" s="166">
        <v>13</v>
      </c>
      <c r="L55" s="192" t="s">
        <v>393</v>
      </c>
      <c r="M55" s="167">
        <v>850</v>
      </c>
      <c r="N55" s="168">
        <v>25</v>
      </c>
      <c r="O55" s="168">
        <v>0</v>
      </c>
      <c r="P55" s="168"/>
      <c r="Q55" s="168"/>
      <c r="R55" s="168"/>
      <c r="S55" s="168"/>
      <c r="T55" s="142"/>
    </row>
    <row r="56" spans="1:20" ht="15.75" customHeight="1">
      <c r="A56" s="321" t="s">
        <v>448</v>
      </c>
      <c r="B56" s="307"/>
      <c r="C56" s="307"/>
      <c r="D56" s="308"/>
      <c r="E56" s="198"/>
      <c r="F56" s="198"/>
      <c r="G56" s="198"/>
      <c r="H56" s="198"/>
      <c r="I56" s="167">
        <v>653</v>
      </c>
      <c r="J56" s="166">
        <v>1</v>
      </c>
      <c r="K56" s="166">
        <v>13</v>
      </c>
      <c r="L56" s="192" t="s">
        <v>393</v>
      </c>
      <c r="M56" s="167">
        <v>850</v>
      </c>
      <c r="N56" s="168">
        <v>25</v>
      </c>
      <c r="O56" s="168">
        <v>0</v>
      </c>
      <c r="P56" s="168"/>
      <c r="Q56" s="168"/>
      <c r="R56" s="168"/>
      <c r="S56" s="168"/>
      <c r="T56" s="142"/>
    </row>
    <row r="57" spans="1:20" ht="19.5" customHeight="1">
      <c r="A57" s="303" t="s">
        <v>295</v>
      </c>
      <c r="B57" s="303"/>
      <c r="C57" s="303"/>
      <c r="D57" s="303"/>
      <c r="E57" s="303"/>
      <c r="F57" s="303"/>
      <c r="G57" s="303"/>
      <c r="H57" s="303"/>
      <c r="I57" s="167">
        <v>653</v>
      </c>
      <c r="J57" s="270">
        <v>2</v>
      </c>
      <c r="K57" s="270">
        <v>0</v>
      </c>
      <c r="L57" s="272" t="s">
        <v>386</v>
      </c>
      <c r="M57" s="179">
        <v>0</v>
      </c>
      <c r="N57" s="234">
        <f aca="true" t="shared" si="12" ref="N57:S57">N58</f>
        <v>156</v>
      </c>
      <c r="O57" s="234">
        <f t="shared" si="12"/>
        <v>156</v>
      </c>
      <c r="P57" s="234">
        <f t="shared" si="12"/>
        <v>156</v>
      </c>
      <c r="Q57" s="234">
        <f t="shared" si="12"/>
        <v>156</v>
      </c>
      <c r="R57" s="234">
        <f t="shared" si="12"/>
        <v>156</v>
      </c>
      <c r="S57" s="234">
        <f t="shared" si="12"/>
        <v>156</v>
      </c>
      <c r="T57" s="142"/>
    </row>
    <row r="58" spans="1:20" ht="24" customHeight="1">
      <c r="A58" s="303" t="s">
        <v>294</v>
      </c>
      <c r="B58" s="303"/>
      <c r="C58" s="303"/>
      <c r="D58" s="303"/>
      <c r="E58" s="303"/>
      <c r="F58" s="303"/>
      <c r="G58" s="303"/>
      <c r="H58" s="303"/>
      <c r="I58" s="179">
        <v>653</v>
      </c>
      <c r="J58" s="270">
        <v>2</v>
      </c>
      <c r="K58" s="270">
        <v>3</v>
      </c>
      <c r="L58" s="272" t="s">
        <v>386</v>
      </c>
      <c r="M58" s="179">
        <v>0</v>
      </c>
      <c r="N58" s="234">
        <f aca="true" t="shared" si="13" ref="N58:S58">N60</f>
        <v>156</v>
      </c>
      <c r="O58" s="234">
        <f t="shared" si="13"/>
        <v>156</v>
      </c>
      <c r="P58" s="234">
        <f t="shared" si="13"/>
        <v>156</v>
      </c>
      <c r="Q58" s="234">
        <f t="shared" si="13"/>
        <v>156</v>
      </c>
      <c r="R58" s="234">
        <f t="shared" si="13"/>
        <v>156</v>
      </c>
      <c r="S58" s="234">
        <f t="shared" si="13"/>
        <v>156</v>
      </c>
      <c r="T58" s="142"/>
    </row>
    <row r="59" spans="1:21" ht="42" customHeight="1">
      <c r="A59" s="311" t="s">
        <v>197</v>
      </c>
      <c r="B59" s="312"/>
      <c r="C59" s="312"/>
      <c r="D59" s="313"/>
      <c r="E59" s="178"/>
      <c r="F59" s="178"/>
      <c r="G59" s="178"/>
      <c r="H59" s="178"/>
      <c r="I59" s="179">
        <v>653</v>
      </c>
      <c r="J59" s="270">
        <v>2</v>
      </c>
      <c r="K59" s="270">
        <v>3</v>
      </c>
      <c r="L59" s="272" t="s">
        <v>386</v>
      </c>
      <c r="M59" s="179">
        <v>0</v>
      </c>
      <c r="N59" s="234">
        <f aca="true" t="shared" si="14" ref="N59:S61">N60</f>
        <v>156</v>
      </c>
      <c r="O59" s="234">
        <f t="shared" si="14"/>
        <v>156</v>
      </c>
      <c r="P59" s="234">
        <f t="shared" si="14"/>
        <v>156</v>
      </c>
      <c r="Q59" s="234">
        <f t="shared" si="14"/>
        <v>156</v>
      </c>
      <c r="R59" s="234">
        <f t="shared" si="14"/>
        <v>156</v>
      </c>
      <c r="S59" s="234">
        <f t="shared" si="14"/>
        <v>156</v>
      </c>
      <c r="T59" s="142"/>
      <c r="U59" s="2"/>
    </row>
    <row r="60" spans="1:20" ht="60" customHeight="1">
      <c r="A60" s="321" t="s">
        <v>246</v>
      </c>
      <c r="B60" s="307"/>
      <c r="C60" s="307"/>
      <c r="D60" s="307"/>
      <c r="E60" s="194"/>
      <c r="F60" s="194"/>
      <c r="G60" s="194"/>
      <c r="H60" s="195"/>
      <c r="I60" s="167">
        <v>653</v>
      </c>
      <c r="J60" s="166">
        <v>2</v>
      </c>
      <c r="K60" s="166">
        <v>3</v>
      </c>
      <c r="L60" s="192" t="s">
        <v>395</v>
      </c>
      <c r="M60" s="167">
        <v>0</v>
      </c>
      <c r="N60" s="168">
        <f>N61</f>
        <v>156</v>
      </c>
      <c r="O60" s="168">
        <f t="shared" si="14"/>
        <v>156</v>
      </c>
      <c r="P60" s="168">
        <f t="shared" si="14"/>
        <v>156</v>
      </c>
      <c r="Q60" s="168">
        <f t="shared" si="14"/>
        <v>156</v>
      </c>
      <c r="R60" s="168">
        <f t="shared" si="14"/>
        <v>156</v>
      </c>
      <c r="S60" s="168">
        <f t="shared" si="14"/>
        <v>156</v>
      </c>
      <c r="T60" s="142"/>
    </row>
    <row r="61" spans="1:21" s="8" customFormat="1" ht="38.25" customHeight="1">
      <c r="A61" s="321" t="s">
        <v>449</v>
      </c>
      <c r="B61" s="307"/>
      <c r="C61" s="307"/>
      <c r="D61" s="307"/>
      <c r="E61" s="194"/>
      <c r="F61" s="194"/>
      <c r="G61" s="194"/>
      <c r="H61" s="195"/>
      <c r="I61" s="167">
        <v>653</v>
      </c>
      <c r="J61" s="166">
        <v>2</v>
      </c>
      <c r="K61" s="166">
        <v>3</v>
      </c>
      <c r="L61" s="193" t="s">
        <v>395</v>
      </c>
      <c r="M61" s="167">
        <v>100</v>
      </c>
      <c r="N61" s="168">
        <v>156</v>
      </c>
      <c r="O61" s="168">
        <v>156</v>
      </c>
      <c r="P61" s="168">
        <f t="shared" si="14"/>
        <v>156</v>
      </c>
      <c r="Q61" s="168">
        <f t="shared" si="14"/>
        <v>156</v>
      </c>
      <c r="R61" s="168">
        <f t="shared" si="14"/>
        <v>156</v>
      </c>
      <c r="S61" s="168">
        <f t="shared" si="14"/>
        <v>156</v>
      </c>
      <c r="T61" s="142"/>
      <c r="U61" s="145"/>
    </row>
    <row r="62" spans="1:21" s="8" customFormat="1" ht="28.5" customHeight="1">
      <c r="A62" s="321" t="s">
        <v>201</v>
      </c>
      <c r="B62" s="307"/>
      <c r="C62" s="307"/>
      <c r="D62" s="307"/>
      <c r="E62" s="194"/>
      <c r="F62" s="194"/>
      <c r="G62" s="194"/>
      <c r="H62" s="195"/>
      <c r="I62" s="167">
        <v>653</v>
      </c>
      <c r="J62" s="166">
        <v>2</v>
      </c>
      <c r="K62" s="166">
        <v>3</v>
      </c>
      <c r="L62" s="192" t="s">
        <v>395</v>
      </c>
      <c r="M62" s="167">
        <v>120</v>
      </c>
      <c r="N62" s="168">
        <f aca="true" t="shared" si="15" ref="N62:S62">N63</f>
        <v>119.8</v>
      </c>
      <c r="O62" s="168">
        <f t="shared" si="15"/>
        <v>119.8</v>
      </c>
      <c r="P62" s="168">
        <f t="shared" si="15"/>
        <v>156</v>
      </c>
      <c r="Q62" s="168">
        <f t="shared" si="15"/>
        <v>156</v>
      </c>
      <c r="R62" s="168">
        <f t="shared" si="15"/>
        <v>156</v>
      </c>
      <c r="S62" s="168">
        <f t="shared" si="15"/>
        <v>156</v>
      </c>
      <c r="T62" s="142"/>
      <c r="U62" s="145"/>
    </row>
    <row r="63" spans="1:20" ht="25.5" customHeight="1">
      <c r="A63" s="321" t="s">
        <v>387</v>
      </c>
      <c r="B63" s="307"/>
      <c r="C63" s="307"/>
      <c r="D63" s="307"/>
      <c r="E63" s="194"/>
      <c r="F63" s="194"/>
      <c r="G63" s="194"/>
      <c r="H63" s="195"/>
      <c r="I63" s="167">
        <v>653</v>
      </c>
      <c r="J63" s="166">
        <v>2</v>
      </c>
      <c r="K63" s="166">
        <v>3</v>
      </c>
      <c r="L63" s="192" t="s">
        <v>395</v>
      </c>
      <c r="M63" s="167">
        <v>121</v>
      </c>
      <c r="N63" s="168">
        <v>119.8</v>
      </c>
      <c r="O63" s="168">
        <v>119.8</v>
      </c>
      <c r="P63" s="168">
        <v>156</v>
      </c>
      <c r="Q63" s="168">
        <v>156</v>
      </c>
      <c r="R63" s="239">
        <v>156</v>
      </c>
      <c r="S63" s="168">
        <v>156</v>
      </c>
      <c r="T63" s="142"/>
    </row>
    <row r="64" spans="1:20" ht="34.5" customHeight="1">
      <c r="A64" s="306" t="s">
        <v>442</v>
      </c>
      <c r="B64" s="307"/>
      <c r="C64" s="307"/>
      <c r="D64" s="308"/>
      <c r="E64" s="194"/>
      <c r="F64" s="194"/>
      <c r="G64" s="194"/>
      <c r="H64" s="195"/>
      <c r="I64" s="167">
        <v>653</v>
      </c>
      <c r="J64" s="166">
        <v>2</v>
      </c>
      <c r="K64" s="166">
        <v>3</v>
      </c>
      <c r="L64" s="192" t="s">
        <v>395</v>
      </c>
      <c r="M64" s="167">
        <v>129</v>
      </c>
      <c r="N64" s="168">
        <v>36.2</v>
      </c>
      <c r="O64" s="168">
        <v>36.2</v>
      </c>
      <c r="P64" s="168"/>
      <c r="Q64" s="168"/>
      <c r="R64" s="239"/>
      <c r="S64" s="168"/>
      <c r="T64" s="142"/>
    </row>
    <row r="65" spans="1:20" s="8" customFormat="1" ht="32.25" customHeight="1">
      <c r="A65" s="318" t="s">
        <v>293</v>
      </c>
      <c r="B65" s="319"/>
      <c r="C65" s="319"/>
      <c r="D65" s="319"/>
      <c r="E65" s="319"/>
      <c r="F65" s="319"/>
      <c r="G65" s="319"/>
      <c r="H65" s="320"/>
      <c r="I65" s="167">
        <v>653</v>
      </c>
      <c r="J65" s="270">
        <v>3</v>
      </c>
      <c r="K65" s="270">
        <v>0</v>
      </c>
      <c r="L65" s="272" t="s">
        <v>386</v>
      </c>
      <c r="M65" s="179">
        <v>0</v>
      </c>
      <c r="N65" s="234">
        <v>75.7</v>
      </c>
      <c r="O65" s="234">
        <v>16.4</v>
      </c>
      <c r="P65" s="234">
        <f>P66+P72+P83</f>
        <v>75.69999999999999</v>
      </c>
      <c r="Q65" s="234">
        <f>Q66+Q72+Q83</f>
        <v>20.2</v>
      </c>
      <c r="R65" s="234">
        <f>R66+R72+R83</f>
        <v>21.82</v>
      </c>
      <c r="S65" s="234">
        <f>S66+S72+S83</f>
        <v>20.2</v>
      </c>
      <c r="T65" s="142"/>
    </row>
    <row r="66" spans="1:20" s="9" customFormat="1" ht="19.5" customHeight="1">
      <c r="A66" s="303" t="s">
        <v>320</v>
      </c>
      <c r="B66" s="303"/>
      <c r="C66" s="303"/>
      <c r="D66" s="303"/>
      <c r="E66" s="303"/>
      <c r="F66" s="303"/>
      <c r="G66" s="303"/>
      <c r="H66" s="303"/>
      <c r="I66" s="179">
        <v>653</v>
      </c>
      <c r="J66" s="270">
        <v>3</v>
      </c>
      <c r="K66" s="270">
        <v>4</v>
      </c>
      <c r="L66" s="272" t="s">
        <v>385</v>
      </c>
      <c r="M66" s="179">
        <v>0</v>
      </c>
      <c r="N66" s="234">
        <f aca="true" t="shared" si="16" ref="N66:S66">N68</f>
        <v>16.4</v>
      </c>
      <c r="O66" s="234">
        <f t="shared" si="16"/>
        <v>16.4</v>
      </c>
      <c r="P66" s="234">
        <f t="shared" si="16"/>
        <v>16.4</v>
      </c>
      <c r="Q66" s="234">
        <f t="shared" si="16"/>
        <v>16.4</v>
      </c>
      <c r="R66" s="234">
        <f t="shared" si="16"/>
        <v>16.4</v>
      </c>
      <c r="S66" s="234">
        <f t="shared" si="16"/>
        <v>16.4</v>
      </c>
      <c r="T66" s="142"/>
    </row>
    <row r="67" spans="1:21" ht="41.25" customHeight="1">
      <c r="A67" s="311" t="s">
        <v>197</v>
      </c>
      <c r="B67" s="312"/>
      <c r="C67" s="312"/>
      <c r="D67" s="313"/>
      <c r="E67" s="178"/>
      <c r="F67" s="178"/>
      <c r="G67" s="178"/>
      <c r="H67" s="178"/>
      <c r="I67" s="179">
        <v>653</v>
      </c>
      <c r="J67" s="270">
        <v>3</v>
      </c>
      <c r="K67" s="270">
        <v>4</v>
      </c>
      <c r="L67" s="272" t="s">
        <v>386</v>
      </c>
      <c r="M67" s="179">
        <v>0</v>
      </c>
      <c r="N67" s="234">
        <f aca="true" t="shared" si="17" ref="N67:S69">N68</f>
        <v>16.4</v>
      </c>
      <c r="O67" s="234">
        <f t="shared" si="17"/>
        <v>16.4</v>
      </c>
      <c r="P67" s="234">
        <f t="shared" si="17"/>
        <v>16.4</v>
      </c>
      <c r="Q67" s="234">
        <f t="shared" si="17"/>
        <v>16.4</v>
      </c>
      <c r="R67" s="234">
        <f t="shared" si="17"/>
        <v>16.4</v>
      </c>
      <c r="S67" s="234">
        <f t="shared" si="17"/>
        <v>16.4</v>
      </c>
      <c r="T67" s="142"/>
      <c r="U67" s="2"/>
    </row>
    <row r="68" spans="1:20" s="8" customFormat="1" ht="60.75" customHeight="1">
      <c r="A68" s="309" t="s">
        <v>247</v>
      </c>
      <c r="B68" s="309"/>
      <c r="C68" s="309"/>
      <c r="D68" s="309"/>
      <c r="E68" s="309"/>
      <c r="F68" s="309"/>
      <c r="G68" s="309"/>
      <c r="H68" s="309"/>
      <c r="I68" s="167">
        <v>653</v>
      </c>
      <c r="J68" s="166">
        <v>3</v>
      </c>
      <c r="K68" s="166">
        <v>4</v>
      </c>
      <c r="L68" s="192" t="s">
        <v>396</v>
      </c>
      <c r="M68" s="167">
        <v>0</v>
      </c>
      <c r="N68" s="168">
        <f>N69</f>
        <v>16.4</v>
      </c>
      <c r="O68" s="168">
        <f t="shared" si="17"/>
        <v>16.4</v>
      </c>
      <c r="P68" s="168">
        <f t="shared" si="17"/>
        <v>16.4</v>
      </c>
      <c r="Q68" s="168">
        <f t="shared" si="17"/>
        <v>16.4</v>
      </c>
      <c r="R68" s="168">
        <f t="shared" si="17"/>
        <v>16.4</v>
      </c>
      <c r="S68" s="168">
        <f t="shared" si="17"/>
        <v>16.4</v>
      </c>
      <c r="T68" s="142"/>
    </row>
    <row r="69" spans="1:21" s="8" customFormat="1" ht="29.25" customHeight="1">
      <c r="A69" s="309" t="s">
        <v>205</v>
      </c>
      <c r="B69" s="309"/>
      <c r="C69" s="309"/>
      <c r="D69" s="309"/>
      <c r="E69" s="309"/>
      <c r="F69" s="309"/>
      <c r="G69" s="309"/>
      <c r="H69" s="309"/>
      <c r="I69" s="167"/>
      <c r="J69" s="166">
        <v>3</v>
      </c>
      <c r="K69" s="166">
        <v>4</v>
      </c>
      <c r="L69" s="192" t="s">
        <v>396</v>
      </c>
      <c r="M69" s="167">
        <v>200</v>
      </c>
      <c r="N69" s="168">
        <f>N70</f>
        <v>16.4</v>
      </c>
      <c r="O69" s="168">
        <f t="shared" si="17"/>
        <v>16.4</v>
      </c>
      <c r="P69" s="168">
        <f t="shared" si="17"/>
        <v>16.4</v>
      </c>
      <c r="Q69" s="168">
        <f t="shared" si="17"/>
        <v>16.4</v>
      </c>
      <c r="R69" s="168">
        <f t="shared" si="17"/>
        <v>16.4</v>
      </c>
      <c r="S69" s="168">
        <f t="shared" si="17"/>
        <v>16.4</v>
      </c>
      <c r="T69" s="142"/>
      <c r="U69" s="145"/>
    </row>
    <row r="70" spans="1:21" s="8" customFormat="1" ht="30" customHeight="1">
      <c r="A70" s="309" t="s">
        <v>202</v>
      </c>
      <c r="B70" s="309"/>
      <c r="C70" s="309"/>
      <c r="D70" s="309"/>
      <c r="E70" s="309"/>
      <c r="F70" s="309"/>
      <c r="G70" s="309"/>
      <c r="H70" s="309"/>
      <c r="I70" s="167">
        <v>653</v>
      </c>
      <c r="J70" s="166">
        <v>3</v>
      </c>
      <c r="K70" s="166">
        <v>4</v>
      </c>
      <c r="L70" s="192" t="s">
        <v>396</v>
      </c>
      <c r="M70" s="167">
        <v>240</v>
      </c>
      <c r="N70" s="168">
        <f aca="true" t="shared" si="18" ref="N70:S70">N71</f>
        <v>16.4</v>
      </c>
      <c r="O70" s="168">
        <f t="shared" si="18"/>
        <v>16.4</v>
      </c>
      <c r="P70" s="168">
        <f t="shared" si="18"/>
        <v>16.4</v>
      </c>
      <c r="Q70" s="168">
        <f t="shared" si="18"/>
        <v>16.4</v>
      </c>
      <c r="R70" s="168">
        <f t="shared" si="18"/>
        <v>16.4</v>
      </c>
      <c r="S70" s="168">
        <f t="shared" si="18"/>
        <v>16.4</v>
      </c>
      <c r="T70" s="142"/>
      <c r="U70" s="145"/>
    </row>
    <row r="71" spans="1:20" s="8" customFormat="1" ht="30" customHeight="1">
      <c r="A71" s="309" t="s">
        <v>203</v>
      </c>
      <c r="B71" s="309"/>
      <c r="C71" s="309"/>
      <c r="D71" s="309"/>
      <c r="E71" s="309"/>
      <c r="F71" s="309"/>
      <c r="G71" s="309"/>
      <c r="H71" s="309"/>
      <c r="I71" s="167">
        <v>653</v>
      </c>
      <c r="J71" s="166">
        <v>3</v>
      </c>
      <c r="K71" s="166">
        <v>4</v>
      </c>
      <c r="L71" s="192" t="s">
        <v>396</v>
      </c>
      <c r="M71" s="167">
        <v>244</v>
      </c>
      <c r="N71" s="168">
        <v>16.4</v>
      </c>
      <c r="O71" s="168">
        <v>16.4</v>
      </c>
      <c r="P71" s="168">
        <v>16.4</v>
      </c>
      <c r="Q71" s="168">
        <v>16.4</v>
      </c>
      <c r="R71" s="239">
        <v>16.4</v>
      </c>
      <c r="S71" s="168">
        <v>16.4</v>
      </c>
      <c r="T71" s="142"/>
    </row>
    <row r="72" spans="1:20" s="8" customFormat="1" ht="41.25" customHeight="1">
      <c r="A72" s="303" t="s">
        <v>292</v>
      </c>
      <c r="B72" s="303"/>
      <c r="C72" s="303"/>
      <c r="D72" s="303"/>
      <c r="E72" s="303"/>
      <c r="F72" s="303"/>
      <c r="G72" s="303"/>
      <c r="H72" s="303"/>
      <c r="I72" s="179">
        <v>653</v>
      </c>
      <c r="J72" s="270">
        <v>3</v>
      </c>
      <c r="K72" s="270">
        <v>9</v>
      </c>
      <c r="L72" s="272" t="s">
        <v>385</v>
      </c>
      <c r="M72" s="179">
        <v>0</v>
      </c>
      <c r="N72" s="234">
        <v>15.4</v>
      </c>
      <c r="O72" s="234">
        <f>O74+O79</f>
        <v>0</v>
      </c>
      <c r="P72" s="234">
        <f>P74+P79</f>
        <v>46.9</v>
      </c>
      <c r="Q72" s="234">
        <f>Q74+Q79</f>
        <v>0</v>
      </c>
      <c r="R72" s="234">
        <f>R74+R79</f>
        <v>0</v>
      </c>
      <c r="S72" s="234">
        <f>S74+S79</f>
        <v>0</v>
      </c>
      <c r="T72" s="142"/>
    </row>
    <row r="73" spans="1:21" ht="35.25" customHeight="1">
      <c r="A73" s="304" t="s">
        <v>215</v>
      </c>
      <c r="B73" s="304"/>
      <c r="C73" s="304"/>
      <c r="D73" s="304"/>
      <c r="E73" s="178"/>
      <c r="F73" s="178"/>
      <c r="G73" s="178"/>
      <c r="H73" s="178"/>
      <c r="I73" s="179">
        <v>653</v>
      </c>
      <c r="J73" s="270">
        <v>3</v>
      </c>
      <c r="K73" s="270">
        <v>9</v>
      </c>
      <c r="L73" s="272" t="s">
        <v>465</v>
      </c>
      <c r="M73" s="179">
        <v>0</v>
      </c>
      <c r="N73" s="234">
        <v>15.4</v>
      </c>
      <c r="O73" s="234">
        <f aca="true" t="shared" si="19" ref="O73:S75">O74</f>
        <v>0</v>
      </c>
      <c r="P73" s="234">
        <f t="shared" si="19"/>
        <v>31.5</v>
      </c>
      <c r="Q73" s="234">
        <f t="shared" si="19"/>
        <v>0</v>
      </c>
      <c r="R73" s="234">
        <f t="shared" si="19"/>
        <v>0</v>
      </c>
      <c r="S73" s="234">
        <f t="shared" si="19"/>
        <v>0</v>
      </c>
      <c r="T73" s="142"/>
      <c r="U73" s="2"/>
    </row>
    <row r="74" spans="1:20" s="8" customFormat="1" ht="42.75" customHeight="1">
      <c r="A74" s="309" t="s">
        <v>451</v>
      </c>
      <c r="B74" s="309"/>
      <c r="C74" s="309"/>
      <c r="D74" s="309"/>
      <c r="E74" s="309"/>
      <c r="F74" s="309"/>
      <c r="G74" s="309"/>
      <c r="H74" s="309"/>
      <c r="I74" s="167">
        <v>653</v>
      </c>
      <c r="J74" s="166">
        <v>3</v>
      </c>
      <c r="K74" s="166">
        <v>9</v>
      </c>
      <c r="L74" s="192" t="s">
        <v>457</v>
      </c>
      <c r="M74" s="167">
        <v>0</v>
      </c>
      <c r="N74" s="168">
        <v>15.4</v>
      </c>
      <c r="O74" s="168">
        <f t="shared" si="19"/>
        <v>0</v>
      </c>
      <c r="P74" s="168">
        <f t="shared" si="19"/>
        <v>31.5</v>
      </c>
      <c r="Q74" s="168">
        <f t="shared" si="19"/>
        <v>0</v>
      </c>
      <c r="R74" s="168">
        <f t="shared" si="19"/>
        <v>0</v>
      </c>
      <c r="S74" s="168">
        <f t="shared" si="19"/>
        <v>0</v>
      </c>
      <c r="T74" s="142"/>
    </row>
    <row r="75" spans="1:21" s="8" customFormat="1" ht="29.25" customHeight="1">
      <c r="A75" s="309" t="s">
        <v>205</v>
      </c>
      <c r="B75" s="309"/>
      <c r="C75" s="309"/>
      <c r="D75" s="309"/>
      <c r="E75" s="309"/>
      <c r="F75" s="309"/>
      <c r="G75" s="309"/>
      <c r="H75" s="309"/>
      <c r="I75" s="167">
        <v>653</v>
      </c>
      <c r="J75" s="166">
        <v>3</v>
      </c>
      <c r="K75" s="166">
        <v>9</v>
      </c>
      <c r="L75" s="192" t="s">
        <v>457</v>
      </c>
      <c r="M75" s="167">
        <v>200</v>
      </c>
      <c r="N75" s="168">
        <v>15.4</v>
      </c>
      <c r="O75" s="168">
        <f t="shared" si="19"/>
        <v>0</v>
      </c>
      <c r="P75" s="168">
        <f t="shared" si="19"/>
        <v>31.5</v>
      </c>
      <c r="Q75" s="168">
        <f t="shared" si="19"/>
        <v>0</v>
      </c>
      <c r="R75" s="168">
        <f t="shared" si="19"/>
        <v>0</v>
      </c>
      <c r="S75" s="168">
        <f t="shared" si="19"/>
        <v>0</v>
      </c>
      <c r="T75" s="142"/>
      <c r="U75" s="145"/>
    </row>
    <row r="76" spans="1:21" s="8" customFormat="1" ht="27.75" customHeight="1">
      <c r="A76" s="309" t="s">
        <v>202</v>
      </c>
      <c r="B76" s="309"/>
      <c r="C76" s="309"/>
      <c r="D76" s="309"/>
      <c r="E76" s="309"/>
      <c r="F76" s="309"/>
      <c r="G76" s="309"/>
      <c r="H76" s="309"/>
      <c r="I76" s="167">
        <v>653</v>
      </c>
      <c r="J76" s="166">
        <v>3</v>
      </c>
      <c r="K76" s="166">
        <v>9</v>
      </c>
      <c r="L76" s="192" t="s">
        <v>457</v>
      </c>
      <c r="M76" s="167">
        <v>240</v>
      </c>
      <c r="N76" s="168">
        <v>15.4</v>
      </c>
      <c r="O76" s="168">
        <f>O77</f>
        <v>0</v>
      </c>
      <c r="P76" s="168">
        <f>P77</f>
        <v>31.5</v>
      </c>
      <c r="Q76" s="168">
        <f>Q77</f>
        <v>0</v>
      </c>
      <c r="R76" s="168">
        <f>R77</f>
        <v>0</v>
      </c>
      <c r="S76" s="168">
        <f>S77</f>
        <v>0</v>
      </c>
      <c r="T76" s="142"/>
      <c r="U76" s="145"/>
    </row>
    <row r="77" spans="1:20" s="8" customFormat="1" ht="27.75" customHeight="1">
      <c r="A77" s="309" t="s">
        <v>203</v>
      </c>
      <c r="B77" s="309"/>
      <c r="C77" s="309"/>
      <c r="D77" s="309"/>
      <c r="E77" s="309"/>
      <c r="F77" s="309"/>
      <c r="G77" s="309"/>
      <c r="H77" s="309"/>
      <c r="I77" s="167">
        <v>653</v>
      </c>
      <c r="J77" s="166">
        <v>3</v>
      </c>
      <c r="K77" s="166">
        <v>9</v>
      </c>
      <c r="L77" s="192" t="s">
        <v>457</v>
      </c>
      <c r="M77" s="167">
        <v>244</v>
      </c>
      <c r="N77" s="168">
        <v>15.4</v>
      </c>
      <c r="O77" s="168">
        <v>0</v>
      </c>
      <c r="P77" s="168">
        <v>31.5</v>
      </c>
      <c r="Q77" s="168">
        <v>0</v>
      </c>
      <c r="R77" s="239">
        <v>0</v>
      </c>
      <c r="S77" s="168">
        <v>0</v>
      </c>
      <c r="T77" s="142"/>
    </row>
    <row r="78" spans="1:21" ht="58.5" customHeight="1">
      <c r="A78" s="304" t="s">
        <v>450</v>
      </c>
      <c r="B78" s="304"/>
      <c r="C78" s="304"/>
      <c r="D78" s="304"/>
      <c r="E78" s="178"/>
      <c r="F78" s="178"/>
      <c r="G78" s="178"/>
      <c r="H78" s="178"/>
      <c r="I78" s="179">
        <v>653</v>
      </c>
      <c r="J78" s="270">
        <v>3</v>
      </c>
      <c r="K78" s="270">
        <v>9</v>
      </c>
      <c r="L78" s="272" t="s">
        <v>398</v>
      </c>
      <c r="M78" s="179">
        <v>0</v>
      </c>
      <c r="N78" s="234">
        <v>31.5</v>
      </c>
      <c r="O78" s="234">
        <f>O79</f>
        <v>0</v>
      </c>
      <c r="P78" s="234">
        <f>P79</f>
        <v>15.4</v>
      </c>
      <c r="Q78" s="234">
        <f>Q79</f>
        <v>0</v>
      </c>
      <c r="R78" s="234">
        <f>R79</f>
        <v>0</v>
      </c>
      <c r="S78" s="234">
        <f>S79</f>
        <v>0</v>
      </c>
      <c r="T78" s="142"/>
      <c r="U78" s="7"/>
    </row>
    <row r="79" spans="1:20" s="8" customFormat="1" ht="72" customHeight="1">
      <c r="A79" s="309" t="s">
        <v>257</v>
      </c>
      <c r="B79" s="309"/>
      <c r="C79" s="309"/>
      <c r="D79" s="309"/>
      <c r="E79" s="309"/>
      <c r="F79" s="309"/>
      <c r="G79" s="309"/>
      <c r="H79" s="309"/>
      <c r="I79" s="167">
        <v>653</v>
      </c>
      <c r="J79" s="166">
        <v>3</v>
      </c>
      <c r="K79" s="166">
        <v>9</v>
      </c>
      <c r="L79" s="192" t="s">
        <v>416</v>
      </c>
      <c r="M79" s="167">
        <v>0</v>
      </c>
      <c r="N79" s="168">
        <v>31.5</v>
      </c>
      <c r="O79" s="168">
        <f>O82</f>
        <v>0</v>
      </c>
      <c r="P79" s="168">
        <f>P82</f>
        <v>15.4</v>
      </c>
      <c r="Q79" s="168">
        <f>Q82</f>
        <v>0</v>
      </c>
      <c r="R79" s="168">
        <f>R82</f>
        <v>0</v>
      </c>
      <c r="S79" s="168">
        <f>S82</f>
        <v>0</v>
      </c>
      <c r="T79" s="142"/>
    </row>
    <row r="80" spans="1:28" s="8" customFormat="1" ht="27.75" customHeight="1">
      <c r="A80" s="309" t="s">
        <v>205</v>
      </c>
      <c r="B80" s="309"/>
      <c r="C80" s="309"/>
      <c r="D80" s="309"/>
      <c r="E80" s="309"/>
      <c r="F80" s="309"/>
      <c r="G80" s="309"/>
      <c r="H80" s="309"/>
      <c r="I80" s="167">
        <v>653</v>
      </c>
      <c r="J80" s="166">
        <v>3</v>
      </c>
      <c r="K80" s="166">
        <v>9</v>
      </c>
      <c r="L80" s="192" t="s">
        <v>416</v>
      </c>
      <c r="M80" s="167">
        <v>0</v>
      </c>
      <c r="N80" s="168">
        <v>31.5</v>
      </c>
      <c r="O80" s="168">
        <f aca="true" t="shared" si="20" ref="O80:S81">O81</f>
        <v>0</v>
      </c>
      <c r="P80" s="168">
        <f t="shared" si="20"/>
        <v>15.4</v>
      </c>
      <c r="Q80" s="168">
        <f t="shared" si="20"/>
        <v>0</v>
      </c>
      <c r="R80" s="168">
        <f t="shared" si="20"/>
        <v>0</v>
      </c>
      <c r="S80" s="168">
        <f t="shared" si="20"/>
        <v>0</v>
      </c>
      <c r="T80" s="142"/>
      <c r="U80" s="162"/>
      <c r="V80" s="162"/>
      <c r="W80" s="162"/>
      <c r="X80" s="162"/>
      <c r="Y80" s="162"/>
      <c r="Z80" s="162"/>
      <c r="AA80" s="162"/>
      <c r="AB80" s="162"/>
    </row>
    <row r="81" spans="1:28" s="144" customFormat="1" ht="29.25" customHeight="1">
      <c r="A81" s="309" t="s">
        <v>202</v>
      </c>
      <c r="B81" s="309"/>
      <c r="C81" s="309"/>
      <c r="D81" s="309"/>
      <c r="E81" s="309"/>
      <c r="F81" s="309"/>
      <c r="G81" s="309"/>
      <c r="H81" s="309"/>
      <c r="I81" s="167">
        <v>653</v>
      </c>
      <c r="J81" s="166">
        <v>3</v>
      </c>
      <c r="K81" s="166">
        <v>9</v>
      </c>
      <c r="L81" s="192" t="s">
        <v>416</v>
      </c>
      <c r="M81" s="167">
        <v>240</v>
      </c>
      <c r="N81" s="168">
        <v>31.5</v>
      </c>
      <c r="O81" s="168">
        <f t="shared" si="20"/>
        <v>0</v>
      </c>
      <c r="P81" s="168">
        <f t="shared" si="20"/>
        <v>15.4</v>
      </c>
      <c r="Q81" s="168">
        <f t="shared" si="20"/>
        <v>0</v>
      </c>
      <c r="R81" s="168">
        <f t="shared" si="20"/>
        <v>0</v>
      </c>
      <c r="S81" s="168">
        <f t="shared" si="20"/>
        <v>0</v>
      </c>
      <c r="T81" s="142"/>
      <c r="U81" s="196"/>
      <c r="V81" s="162"/>
      <c r="W81" s="162"/>
      <c r="X81" s="162"/>
      <c r="Y81" s="162"/>
      <c r="Z81" s="162"/>
      <c r="AA81" s="162"/>
      <c r="AB81" s="162"/>
    </row>
    <row r="82" spans="1:28" s="8" customFormat="1" ht="27" customHeight="1">
      <c r="A82" s="309" t="s">
        <v>203</v>
      </c>
      <c r="B82" s="309"/>
      <c r="C82" s="309"/>
      <c r="D82" s="309"/>
      <c r="E82" s="309"/>
      <c r="F82" s="309"/>
      <c r="G82" s="309"/>
      <c r="H82" s="309"/>
      <c r="I82" s="167">
        <v>653</v>
      </c>
      <c r="J82" s="166">
        <v>3</v>
      </c>
      <c r="K82" s="166">
        <v>9</v>
      </c>
      <c r="L82" s="192" t="s">
        <v>416</v>
      </c>
      <c r="M82" s="167">
        <v>244</v>
      </c>
      <c r="N82" s="168">
        <v>31.5</v>
      </c>
      <c r="O82" s="168">
        <v>0</v>
      </c>
      <c r="P82" s="168">
        <v>15.4</v>
      </c>
      <c r="Q82" s="168">
        <v>0</v>
      </c>
      <c r="R82" s="239">
        <v>0</v>
      </c>
      <c r="S82" s="168">
        <v>0</v>
      </c>
      <c r="T82" s="142"/>
      <c r="U82" s="162"/>
      <c r="V82" s="162"/>
      <c r="W82" s="162"/>
      <c r="X82" s="162"/>
      <c r="Y82" s="162"/>
      <c r="Z82" s="162"/>
      <c r="AA82" s="162"/>
      <c r="AB82" s="162"/>
    </row>
    <row r="83" spans="1:20" s="8" customFormat="1" ht="36" customHeight="1">
      <c r="A83" s="303" t="s">
        <v>319</v>
      </c>
      <c r="B83" s="303"/>
      <c r="C83" s="303"/>
      <c r="D83" s="303"/>
      <c r="E83" s="303"/>
      <c r="F83" s="303"/>
      <c r="G83" s="303"/>
      <c r="H83" s="303"/>
      <c r="I83" s="179">
        <v>653</v>
      </c>
      <c r="J83" s="270">
        <v>3</v>
      </c>
      <c r="K83" s="270">
        <v>14</v>
      </c>
      <c r="L83" s="272" t="s">
        <v>385</v>
      </c>
      <c r="M83" s="179">
        <v>0</v>
      </c>
      <c r="N83" s="234">
        <f aca="true" t="shared" si="21" ref="N83:S83">N85+N89</f>
        <v>12.428999999999998</v>
      </c>
      <c r="O83" s="234">
        <f t="shared" si="21"/>
        <v>8.7</v>
      </c>
      <c r="P83" s="234">
        <f t="shared" si="21"/>
        <v>12.399999999999999</v>
      </c>
      <c r="Q83" s="234">
        <f t="shared" si="21"/>
        <v>3.8</v>
      </c>
      <c r="R83" s="234">
        <f t="shared" si="21"/>
        <v>5.42</v>
      </c>
      <c r="S83" s="234">
        <f t="shared" si="21"/>
        <v>3.8</v>
      </c>
      <c r="T83" s="142"/>
    </row>
    <row r="84" spans="1:21" ht="42.75" customHeight="1">
      <c r="A84" s="304" t="s">
        <v>214</v>
      </c>
      <c r="B84" s="304"/>
      <c r="C84" s="304"/>
      <c r="D84" s="304"/>
      <c r="E84" s="178"/>
      <c r="F84" s="178"/>
      <c r="G84" s="178"/>
      <c r="H84" s="178"/>
      <c r="I84" s="179">
        <v>653</v>
      </c>
      <c r="J84" s="270">
        <v>3</v>
      </c>
      <c r="K84" s="270">
        <v>14</v>
      </c>
      <c r="L84" s="272" t="s">
        <v>400</v>
      </c>
      <c r="M84" s="179">
        <v>0</v>
      </c>
      <c r="N84" s="234">
        <f aca="true" t="shared" si="22" ref="N84:S84">N85+N89</f>
        <v>12.428999999999998</v>
      </c>
      <c r="O84" s="234">
        <f t="shared" si="22"/>
        <v>8.7</v>
      </c>
      <c r="P84" s="234">
        <f t="shared" si="22"/>
        <v>12.399999999999999</v>
      </c>
      <c r="Q84" s="234">
        <f t="shared" si="22"/>
        <v>3.8</v>
      </c>
      <c r="R84" s="234">
        <f t="shared" si="22"/>
        <v>5.42</v>
      </c>
      <c r="S84" s="234">
        <f t="shared" si="22"/>
        <v>3.8</v>
      </c>
      <c r="T84" s="142"/>
      <c r="U84" s="7"/>
    </row>
    <row r="85" spans="1:20" s="8" customFormat="1" ht="60" customHeight="1">
      <c r="A85" s="309" t="s">
        <v>458</v>
      </c>
      <c r="B85" s="309"/>
      <c r="C85" s="309"/>
      <c r="D85" s="309"/>
      <c r="E85" s="309"/>
      <c r="F85" s="309"/>
      <c r="G85" s="309"/>
      <c r="H85" s="309"/>
      <c r="I85" s="167">
        <v>653</v>
      </c>
      <c r="J85" s="166">
        <v>3</v>
      </c>
      <c r="K85" s="166">
        <v>14</v>
      </c>
      <c r="L85" s="192" t="s">
        <v>456</v>
      </c>
      <c r="M85" s="167">
        <v>0</v>
      </c>
      <c r="N85" s="168">
        <f aca="true" t="shared" si="23" ref="N85:S85">N88</f>
        <v>8.7</v>
      </c>
      <c r="O85" s="168">
        <f t="shared" si="23"/>
        <v>8.7</v>
      </c>
      <c r="P85" s="168">
        <f t="shared" si="23"/>
        <v>8.7</v>
      </c>
      <c r="Q85" s="168">
        <f t="shared" si="23"/>
        <v>3.8</v>
      </c>
      <c r="R85" s="168">
        <f t="shared" si="23"/>
        <v>3.8</v>
      </c>
      <c r="S85" s="168">
        <f t="shared" si="23"/>
        <v>3.8</v>
      </c>
      <c r="T85" s="142"/>
    </row>
    <row r="86" spans="1:20" s="8" customFormat="1" ht="26.25" customHeight="1">
      <c r="A86" s="309" t="s">
        <v>205</v>
      </c>
      <c r="B86" s="309"/>
      <c r="C86" s="309"/>
      <c r="D86" s="309"/>
      <c r="E86" s="309"/>
      <c r="F86" s="309"/>
      <c r="G86" s="309"/>
      <c r="H86" s="309"/>
      <c r="I86" s="167">
        <v>653</v>
      </c>
      <c r="J86" s="166">
        <v>3</v>
      </c>
      <c r="K86" s="166">
        <v>14</v>
      </c>
      <c r="L86" s="192" t="s">
        <v>456</v>
      </c>
      <c r="M86" s="167">
        <v>200</v>
      </c>
      <c r="N86" s="168">
        <f aca="true" t="shared" si="24" ref="N86:S87">N87</f>
        <v>8.7</v>
      </c>
      <c r="O86" s="168">
        <f>O87</f>
        <v>8.7</v>
      </c>
      <c r="P86" s="168">
        <f>P87</f>
        <v>8.7</v>
      </c>
      <c r="Q86" s="168">
        <f>Q87</f>
        <v>3.8</v>
      </c>
      <c r="R86" s="168">
        <f>R87</f>
        <v>3.8</v>
      </c>
      <c r="S86" s="168">
        <f>S87</f>
        <v>3.8</v>
      </c>
      <c r="T86" s="142"/>
    </row>
    <row r="87" spans="1:20" s="8" customFormat="1" ht="30" customHeight="1">
      <c r="A87" s="309" t="s">
        <v>202</v>
      </c>
      <c r="B87" s="309"/>
      <c r="C87" s="309"/>
      <c r="D87" s="309"/>
      <c r="E87" s="309"/>
      <c r="F87" s="309"/>
      <c r="G87" s="309"/>
      <c r="H87" s="309"/>
      <c r="I87" s="167">
        <v>653</v>
      </c>
      <c r="J87" s="166">
        <v>3</v>
      </c>
      <c r="K87" s="166">
        <v>14</v>
      </c>
      <c r="L87" s="192" t="s">
        <v>456</v>
      </c>
      <c r="M87" s="167">
        <v>240</v>
      </c>
      <c r="N87" s="168">
        <f t="shared" si="24"/>
        <v>8.7</v>
      </c>
      <c r="O87" s="168">
        <f t="shared" si="24"/>
        <v>8.7</v>
      </c>
      <c r="P87" s="168">
        <f t="shared" si="24"/>
        <v>8.7</v>
      </c>
      <c r="Q87" s="168">
        <f t="shared" si="24"/>
        <v>3.8</v>
      </c>
      <c r="R87" s="168">
        <f t="shared" si="24"/>
        <v>3.8</v>
      </c>
      <c r="S87" s="168">
        <f t="shared" si="24"/>
        <v>3.8</v>
      </c>
      <c r="T87" s="142"/>
    </row>
    <row r="88" spans="1:20" s="8" customFormat="1" ht="36" customHeight="1">
      <c r="A88" s="309" t="s">
        <v>203</v>
      </c>
      <c r="B88" s="309"/>
      <c r="C88" s="309"/>
      <c r="D88" s="309"/>
      <c r="E88" s="309"/>
      <c r="F88" s="309"/>
      <c r="G88" s="309"/>
      <c r="H88" s="309"/>
      <c r="I88" s="167">
        <v>653</v>
      </c>
      <c r="J88" s="166">
        <v>3</v>
      </c>
      <c r="K88" s="166">
        <v>14</v>
      </c>
      <c r="L88" s="192" t="s">
        <v>456</v>
      </c>
      <c r="M88" s="167">
        <v>244</v>
      </c>
      <c r="N88" s="168">
        <v>8.7</v>
      </c>
      <c r="O88" s="168">
        <v>8.7</v>
      </c>
      <c r="P88" s="168">
        <v>8.7</v>
      </c>
      <c r="Q88" s="168">
        <v>3.8</v>
      </c>
      <c r="R88" s="239">
        <v>3.8</v>
      </c>
      <c r="S88" s="168">
        <v>3.8</v>
      </c>
      <c r="T88" s="142"/>
    </row>
    <row r="89" spans="1:20" s="8" customFormat="1" ht="84" customHeight="1">
      <c r="A89" s="309" t="s">
        <v>459</v>
      </c>
      <c r="B89" s="309"/>
      <c r="C89" s="309"/>
      <c r="D89" s="309"/>
      <c r="E89" s="309"/>
      <c r="F89" s="309"/>
      <c r="G89" s="309"/>
      <c r="H89" s="309"/>
      <c r="I89" s="167">
        <v>653</v>
      </c>
      <c r="J89" s="166">
        <v>3</v>
      </c>
      <c r="K89" s="166">
        <v>14</v>
      </c>
      <c r="L89" s="192" t="s">
        <v>455</v>
      </c>
      <c r="M89" s="167">
        <v>0</v>
      </c>
      <c r="N89" s="168">
        <f aca="true" t="shared" si="25" ref="N89:S89">N92</f>
        <v>3.729</v>
      </c>
      <c r="O89" s="168">
        <f t="shared" si="25"/>
        <v>0</v>
      </c>
      <c r="P89" s="168">
        <f t="shared" si="25"/>
        <v>3.7</v>
      </c>
      <c r="Q89" s="168">
        <f t="shared" si="25"/>
        <v>0</v>
      </c>
      <c r="R89" s="168">
        <f t="shared" si="25"/>
        <v>1.62</v>
      </c>
      <c r="S89" s="168">
        <f t="shared" si="25"/>
        <v>0</v>
      </c>
      <c r="T89" s="142"/>
    </row>
    <row r="90" spans="1:20" s="8" customFormat="1" ht="28.5" customHeight="1">
      <c r="A90" s="309" t="s">
        <v>205</v>
      </c>
      <c r="B90" s="309"/>
      <c r="C90" s="309"/>
      <c r="D90" s="309"/>
      <c r="E90" s="309"/>
      <c r="F90" s="309"/>
      <c r="G90" s="309"/>
      <c r="H90" s="309"/>
      <c r="I90" s="167">
        <v>653</v>
      </c>
      <c r="J90" s="166">
        <v>3</v>
      </c>
      <c r="K90" s="166">
        <v>14</v>
      </c>
      <c r="L90" s="192" t="s">
        <v>455</v>
      </c>
      <c r="M90" s="167">
        <v>200</v>
      </c>
      <c r="N90" s="168">
        <f aca="true" t="shared" si="26" ref="N90:S91">N91</f>
        <v>3.729</v>
      </c>
      <c r="O90" s="168">
        <f>O91</f>
        <v>0</v>
      </c>
      <c r="P90" s="168">
        <f>P91</f>
        <v>3.7</v>
      </c>
      <c r="Q90" s="168">
        <f>Q91</f>
        <v>0</v>
      </c>
      <c r="R90" s="168">
        <f>R91</f>
        <v>1.62</v>
      </c>
      <c r="S90" s="168">
        <f>S91</f>
        <v>0</v>
      </c>
      <c r="T90" s="142"/>
    </row>
    <row r="91" spans="1:20" s="8" customFormat="1" ht="29.25" customHeight="1">
      <c r="A91" s="309" t="s">
        <v>202</v>
      </c>
      <c r="B91" s="309"/>
      <c r="C91" s="309"/>
      <c r="D91" s="309"/>
      <c r="E91" s="309"/>
      <c r="F91" s="309"/>
      <c r="G91" s="309"/>
      <c r="H91" s="309"/>
      <c r="I91" s="167">
        <v>653</v>
      </c>
      <c r="J91" s="166">
        <v>3</v>
      </c>
      <c r="K91" s="166">
        <v>14</v>
      </c>
      <c r="L91" s="192" t="s">
        <v>455</v>
      </c>
      <c r="M91" s="167">
        <v>240</v>
      </c>
      <c r="N91" s="168">
        <f t="shared" si="26"/>
        <v>3.729</v>
      </c>
      <c r="O91" s="168">
        <f t="shared" si="26"/>
        <v>0</v>
      </c>
      <c r="P91" s="168">
        <f t="shared" si="26"/>
        <v>3.7</v>
      </c>
      <c r="Q91" s="168">
        <f t="shared" si="26"/>
        <v>0</v>
      </c>
      <c r="R91" s="168">
        <f t="shared" si="26"/>
        <v>1.62</v>
      </c>
      <c r="S91" s="168">
        <f t="shared" si="26"/>
        <v>0</v>
      </c>
      <c r="T91" s="142"/>
    </row>
    <row r="92" spans="1:20" s="8" customFormat="1" ht="30.75" customHeight="1">
      <c r="A92" s="309" t="s">
        <v>314</v>
      </c>
      <c r="B92" s="309"/>
      <c r="C92" s="309"/>
      <c r="D92" s="309"/>
      <c r="E92" s="309"/>
      <c r="F92" s="309"/>
      <c r="G92" s="309"/>
      <c r="H92" s="309"/>
      <c r="I92" s="167">
        <v>653</v>
      </c>
      <c r="J92" s="166">
        <v>3</v>
      </c>
      <c r="K92" s="166">
        <v>14</v>
      </c>
      <c r="L92" s="192" t="s">
        <v>455</v>
      </c>
      <c r="M92" s="167">
        <v>244</v>
      </c>
      <c r="N92" s="168">
        <v>3.729</v>
      </c>
      <c r="O92" s="168">
        <v>0</v>
      </c>
      <c r="P92" s="168">
        <v>3.7</v>
      </c>
      <c r="Q92" s="168">
        <v>0</v>
      </c>
      <c r="R92" s="239">
        <v>1.62</v>
      </c>
      <c r="S92" s="168">
        <v>0</v>
      </c>
      <c r="T92" s="142"/>
    </row>
    <row r="93" spans="1:20" ht="19.5" customHeight="1">
      <c r="A93" s="303" t="s">
        <v>291</v>
      </c>
      <c r="B93" s="303"/>
      <c r="C93" s="303"/>
      <c r="D93" s="303"/>
      <c r="E93" s="303"/>
      <c r="F93" s="303"/>
      <c r="G93" s="303"/>
      <c r="H93" s="303"/>
      <c r="I93" s="179">
        <v>653</v>
      </c>
      <c r="J93" s="270">
        <v>4</v>
      </c>
      <c r="K93" s="270">
        <v>0</v>
      </c>
      <c r="L93" s="272" t="s">
        <v>385</v>
      </c>
      <c r="M93" s="179">
        <v>0</v>
      </c>
      <c r="N93" s="234">
        <v>3529</v>
      </c>
      <c r="O93" s="234">
        <v>0</v>
      </c>
      <c r="P93" s="234" t="e">
        <f>P94+#REF!</f>
        <v>#REF!</v>
      </c>
      <c r="Q93" s="234" t="e">
        <f>Q94+#REF!</f>
        <v>#REF!</v>
      </c>
      <c r="R93" s="234" t="e">
        <f>R94+#REF!</f>
        <v>#REF!</v>
      </c>
      <c r="S93" s="234" t="e">
        <f>S94+#REF!</f>
        <v>#REF!</v>
      </c>
      <c r="T93" s="142"/>
    </row>
    <row r="94" spans="1:20" ht="24.75" customHeight="1">
      <c r="A94" s="303" t="s">
        <v>8</v>
      </c>
      <c r="B94" s="303"/>
      <c r="C94" s="303"/>
      <c r="D94" s="303"/>
      <c r="E94" s="303"/>
      <c r="F94" s="303"/>
      <c r="G94" s="303"/>
      <c r="H94" s="303"/>
      <c r="I94" s="179">
        <v>653</v>
      </c>
      <c r="J94" s="270">
        <v>4</v>
      </c>
      <c r="K94" s="270">
        <v>9</v>
      </c>
      <c r="L94" s="272" t="s">
        <v>385</v>
      </c>
      <c r="M94" s="179">
        <v>0</v>
      </c>
      <c r="N94" s="234">
        <v>3529</v>
      </c>
      <c r="O94" s="234">
        <f>O96</f>
        <v>0</v>
      </c>
      <c r="P94" s="234">
        <f>P96</f>
        <v>3693</v>
      </c>
      <c r="Q94" s="234">
        <f>Q96</f>
        <v>0</v>
      </c>
      <c r="R94" s="234">
        <f>R96</f>
        <v>3878</v>
      </c>
      <c r="S94" s="234">
        <f>S96</f>
        <v>0</v>
      </c>
      <c r="T94" s="142"/>
    </row>
    <row r="95" spans="1:21" ht="40.5" customHeight="1">
      <c r="A95" s="304" t="s">
        <v>212</v>
      </c>
      <c r="B95" s="304"/>
      <c r="C95" s="304"/>
      <c r="D95" s="304"/>
      <c r="E95" s="178"/>
      <c r="F95" s="178"/>
      <c r="G95" s="178"/>
      <c r="H95" s="178"/>
      <c r="I95" s="179">
        <v>653</v>
      </c>
      <c r="J95" s="270">
        <v>4</v>
      </c>
      <c r="K95" s="270">
        <v>9</v>
      </c>
      <c r="L95" s="272" t="s">
        <v>397</v>
      </c>
      <c r="M95" s="179">
        <v>0</v>
      </c>
      <c r="N95" s="234">
        <v>3529</v>
      </c>
      <c r="O95" s="234">
        <f>O96</f>
        <v>0</v>
      </c>
      <c r="P95" s="234">
        <f>P96</f>
        <v>3693</v>
      </c>
      <c r="Q95" s="234">
        <f>Q96</f>
        <v>0</v>
      </c>
      <c r="R95" s="234">
        <f>R96</f>
        <v>3878</v>
      </c>
      <c r="S95" s="234">
        <f>S96</f>
        <v>0</v>
      </c>
      <c r="T95" s="142"/>
      <c r="U95" s="7"/>
    </row>
    <row r="96" spans="1:20" ht="38.25" customHeight="1">
      <c r="A96" s="309" t="s">
        <v>213</v>
      </c>
      <c r="B96" s="309"/>
      <c r="C96" s="309"/>
      <c r="D96" s="309"/>
      <c r="E96" s="309"/>
      <c r="F96" s="309"/>
      <c r="G96" s="309"/>
      <c r="H96" s="309"/>
      <c r="I96" s="167">
        <v>653</v>
      </c>
      <c r="J96" s="166">
        <v>4</v>
      </c>
      <c r="K96" s="166">
        <v>9</v>
      </c>
      <c r="L96" s="192" t="s">
        <v>420</v>
      </c>
      <c r="M96" s="167">
        <v>0</v>
      </c>
      <c r="N96" s="168">
        <v>2201.7</v>
      </c>
      <c r="O96" s="168">
        <f>O99</f>
        <v>0</v>
      </c>
      <c r="P96" s="168">
        <f>P99</f>
        <v>3693</v>
      </c>
      <c r="Q96" s="168">
        <f>Q99</f>
        <v>0</v>
      </c>
      <c r="R96" s="168">
        <f>R99</f>
        <v>3878</v>
      </c>
      <c r="S96" s="168">
        <f>S99</f>
        <v>0</v>
      </c>
      <c r="T96" s="142"/>
    </row>
    <row r="97" spans="1:20" ht="27.75" customHeight="1">
      <c r="A97" s="309" t="s">
        <v>205</v>
      </c>
      <c r="B97" s="309"/>
      <c r="C97" s="309"/>
      <c r="D97" s="309"/>
      <c r="E97" s="309"/>
      <c r="F97" s="309"/>
      <c r="G97" s="309"/>
      <c r="H97" s="309"/>
      <c r="I97" s="167">
        <v>653</v>
      </c>
      <c r="J97" s="166">
        <v>4</v>
      </c>
      <c r="K97" s="166">
        <v>9</v>
      </c>
      <c r="L97" s="192" t="s">
        <v>420</v>
      </c>
      <c r="M97" s="167">
        <v>200</v>
      </c>
      <c r="N97" s="168">
        <v>2201.7</v>
      </c>
      <c r="O97" s="168">
        <f aca="true" t="shared" si="27" ref="O97:S98">O98</f>
        <v>0</v>
      </c>
      <c r="P97" s="168">
        <f t="shared" si="27"/>
        <v>3693</v>
      </c>
      <c r="Q97" s="168">
        <f t="shared" si="27"/>
        <v>0</v>
      </c>
      <c r="R97" s="168">
        <f t="shared" si="27"/>
        <v>3878</v>
      </c>
      <c r="S97" s="168">
        <f t="shared" si="27"/>
        <v>0</v>
      </c>
      <c r="T97" s="142"/>
    </row>
    <row r="98" spans="1:20" ht="27.75" customHeight="1">
      <c r="A98" s="309" t="s">
        <v>202</v>
      </c>
      <c r="B98" s="309"/>
      <c r="C98" s="309"/>
      <c r="D98" s="309"/>
      <c r="E98" s="309"/>
      <c r="F98" s="309"/>
      <c r="G98" s="309"/>
      <c r="H98" s="309"/>
      <c r="I98" s="167">
        <v>653</v>
      </c>
      <c r="J98" s="166">
        <v>4</v>
      </c>
      <c r="K98" s="166">
        <v>9</v>
      </c>
      <c r="L98" s="192" t="s">
        <v>420</v>
      </c>
      <c r="M98" s="167">
        <v>240</v>
      </c>
      <c r="N98" s="168">
        <v>2201.7</v>
      </c>
      <c r="O98" s="168">
        <f t="shared" si="27"/>
        <v>0</v>
      </c>
      <c r="P98" s="168">
        <f t="shared" si="27"/>
        <v>3693</v>
      </c>
      <c r="Q98" s="168">
        <f t="shared" si="27"/>
        <v>0</v>
      </c>
      <c r="R98" s="168">
        <f t="shared" si="27"/>
        <v>3878</v>
      </c>
      <c r="S98" s="168">
        <f t="shared" si="27"/>
        <v>0</v>
      </c>
      <c r="T98" s="142"/>
    </row>
    <row r="99" spans="1:20" ht="26.25" customHeight="1">
      <c r="A99" s="309" t="s">
        <v>314</v>
      </c>
      <c r="B99" s="309"/>
      <c r="C99" s="309"/>
      <c r="D99" s="309"/>
      <c r="E99" s="309"/>
      <c r="F99" s="309"/>
      <c r="G99" s="309"/>
      <c r="H99" s="309"/>
      <c r="I99" s="167">
        <v>653</v>
      </c>
      <c r="J99" s="166">
        <v>4</v>
      </c>
      <c r="K99" s="166">
        <v>9</v>
      </c>
      <c r="L99" s="192" t="s">
        <v>420</v>
      </c>
      <c r="M99" s="167">
        <v>244</v>
      </c>
      <c r="N99" s="168">
        <v>2201.7</v>
      </c>
      <c r="O99" s="168">
        <v>0</v>
      </c>
      <c r="P99" s="168">
        <v>3693</v>
      </c>
      <c r="Q99" s="168">
        <v>0</v>
      </c>
      <c r="R99" s="239">
        <v>3878</v>
      </c>
      <c r="S99" s="168">
        <v>0</v>
      </c>
      <c r="T99" s="142"/>
    </row>
    <row r="100" spans="1:20" ht="42" customHeight="1">
      <c r="A100" s="309" t="s">
        <v>213</v>
      </c>
      <c r="B100" s="309"/>
      <c r="C100" s="309"/>
      <c r="D100" s="309"/>
      <c r="E100" s="309"/>
      <c r="F100" s="309"/>
      <c r="G100" s="309"/>
      <c r="H100" s="309"/>
      <c r="I100" s="167">
        <v>653</v>
      </c>
      <c r="J100" s="166">
        <v>4</v>
      </c>
      <c r="K100" s="166">
        <v>9</v>
      </c>
      <c r="L100" s="192" t="s">
        <v>421</v>
      </c>
      <c r="M100" s="167">
        <v>0</v>
      </c>
      <c r="N100" s="168">
        <v>1327.3</v>
      </c>
      <c r="O100" s="168">
        <f>O103</f>
        <v>0</v>
      </c>
      <c r="P100" s="168"/>
      <c r="Q100" s="168"/>
      <c r="R100" s="239"/>
      <c r="S100" s="168"/>
      <c r="T100" s="142"/>
    </row>
    <row r="101" spans="1:20" ht="26.25" customHeight="1">
      <c r="A101" s="309" t="s">
        <v>205</v>
      </c>
      <c r="B101" s="309"/>
      <c r="C101" s="309"/>
      <c r="D101" s="309"/>
      <c r="E101" s="309"/>
      <c r="F101" s="309"/>
      <c r="G101" s="309"/>
      <c r="H101" s="309"/>
      <c r="I101" s="167">
        <v>653</v>
      </c>
      <c r="J101" s="166">
        <v>4</v>
      </c>
      <c r="K101" s="166">
        <v>9</v>
      </c>
      <c r="L101" s="192" t="s">
        <v>421</v>
      </c>
      <c r="M101" s="167">
        <v>200</v>
      </c>
      <c r="N101" s="168">
        <v>1327.3</v>
      </c>
      <c r="O101" s="168">
        <f>O102</f>
        <v>0</v>
      </c>
      <c r="P101" s="168"/>
      <c r="Q101" s="168"/>
      <c r="R101" s="239"/>
      <c r="S101" s="168"/>
      <c r="T101" s="142"/>
    </row>
    <row r="102" spans="1:20" ht="26.25" customHeight="1">
      <c r="A102" s="309" t="s">
        <v>202</v>
      </c>
      <c r="B102" s="309"/>
      <c r="C102" s="309"/>
      <c r="D102" s="309"/>
      <c r="E102" s="309"/>
      <c r="F102" s="309"/>
      <c r="G102" s="309"/>
      <c r="H102" s="309"/>
      <c r="I102" s="167">
        <v>653</v>
      </c>
      <c r="J102" s="166">
        <v>4</v>
      </c>
      <c r="K102" s="166">
        <v>9</v>
      </c>
      <c r="L102" s="192" t="s">
        <v>421</v>
      </c>
      <c r="M102" s="167">
        <v>240</v>
      </c>
      <c r="N102" s="168">
        <v>1327.3</v>
      </c>
      <c r="O102" s="168">
        <f>O103</f>
        <v>0</v>
      </c>
      <c r="P102" s="168"/>
      <c r="Q102" s="168"/>
      <c r="R102" s="239"/>
      <c r="S102" s="168"/>
      <c r="T102" s="142"/>
    </row>
    <row r="103" spans="1:20" ht="33.75" customHeight="1">
      <c r="A103" s="309" t="s">
        <v>314</v>
      </c>
      <c r="B103" s="309"/>
      <c r="C103" s="309"/>
      <c r="D103" s="309"/>
      <c r="E103" s="309"/>
      <c r="F103" s="309"/>
      <c r="G103" s="309"/>
      <c r="H103" s="309"/>
      <c r="I103" s="167">
        <v>653</v>
      </c>
      <c r="J103" s="166">
        <v>4</v>
      </c>
      <c r="K103" s="166">
        <v>9</v>
      </c>
      <c r="L103" s="192" t="s">
        <v>421</v>
      </c>
      <c r="M103" s="167">
        <v>244</v>
      </c>
      <c r="N103" s="168">
        <v>1327.3</v>
      </c>
      <c r="O103" s="168">
        <v>0</v>
      </c>
      <c r="P103" s="168"/>
      <c r="Q103" s="168"/>
      <c r="R103" s="239"/>
      <c r="S103" s="168"/>
      <c r="T103" s="142"/>
    </row>
    <row r="104" spans="1:20" ht="19.5" customHeight="1">
      <c r="A104" s="303" t="s">
        <v>290</v>
      </c>
      <c r="B104" s="303"/>
      <c r="C104" s="303"/>
      <c r="D104" s="303"/>
      <c r="E104" s="303"/>
      <c r="F104" s="303"/>
      <c r="G104" s="303"/>
      <c r="H104" s="303"/>
      <c r="I104" s="179">
        <v>653</v>
      </c>
      <c r="J104" s="270">
        <v>5</v>
      </c>
      <c r="K104" s="270">
        <v>0</v>
      </c>
      <c r="L104" s="272" t="s">
        <v>385</v>
      </c>
      <c r="M104" s="179">
        <v>0</v>
      </c>
      <c r="N104" s="234">
        <f aca="true" t="shared" si="28" ref="N104:S104">N105+N115+N120</f>
        <v>5093.200000000001</v>
      </c>
      <c r="O104" s="234">
        <f t="shared" si="28"/>
        <v>0</v>
      </c>
      <c r="P104" s="234">
        <f t="shared" si="28"/>
        <v>10416.0095</v>
      </c>
      <c r="Q104" s="234">
        <f t="shared" si="28"/>
        <v>0</v>
      </c>
      <c r="R104" s="234">
        <f t="shared" si="28"/>
        <v>7384.929999999999</v>
      </c>
      <c r="S104" s="234">
        <f t="shared" si="28"/>
        <v>0</v>
      </c>
      <c r="T104" s="142"/>
    </row>
    <row r="105" spans="1:20" ht="19.5" customHeight="1">
      <c r="A105" s="303" t="s">
        <v>289</v>
      </c>
      <c r="B105" s="303"/>
      <c r="C105" s="303"/>
      <c r="D105" s="303"/>
      <c r="E105" s="303"/>
      <c r="F105" s="303"/>
      <c r="G105" s="303"/>
      <c r="H105" s="303"/>
      <c r="I105" s="167">
        <v>653</v>
      </c>
      <c r="J105" s="270">
        <v>5</v>
      </c>
      <c r="K105" s="270">
        <v>1</v>
      </c>
      <c r="L105" s="272" t="s">
        <v>385</v>
      </c>
      <c r="M105" s="179">
        <v>0</v>
      </c>
      <c r="N105" s="234">
        <v>2123.8</v>
      </c>
      <c r="O105" s="234">
        <f>O106+O111</f>
        <v>0</v>
      </c>
      <c r="P105" s="234">
        <f>P106+P111</f>
        <v>2935.3095</v>
      </c>
      <c r="Q105" s="234">
        <f>Q106+Q111</f>
        <v>0</v>
      </c>
      <c r="R105" s="234">
        <f>R106+R111</f>
        <v>2410.0299999999997</v>
      </c>
      <c r="S105" s="234">
        <f>S106+S111</f>
        <v>0</v>
      </c>
      <c r="T105" s="142"/>
    </row>
    <row r="106" spans="1:21" ht="38.25" customHeight="1">
      <c r="A106" s="304" t="s">
        <v>215</v>
      </c>
      <c r="B106" s="304"/>
      <c r="C106" s="304"/>
      <c r="D106" s="304"/>
      <c r="E106" s="178"/>
      <c r="F106" s="178"/>
      <c r="G106" s="178"/>
      <c r="H106" s="178"/>
      <c r="I106" s="179">
        <v>653</v>
      </c>
      <c r="J106" s="270">
        <v>5</v>
      </c>
      <c r="K106" s="270">
        <v>1</v>
      </c>
      <c r="L106" s="272" t="s">
        <v>399</v>
      </c>
      <c r="M106" s="179">
        <v>0</v>
      </c>
      <c r="N106" s="234">
        <f aca="true" t="shared" si="29" ref="N106:S108">N107</f>
        <v>402.087</v>
      </c>
      <c r="O106" s="234">
        <f t="shared" si="29"/>
        <v>0</v>
      </c>
      <c r="P106" s="234">
        <f t="shared" si="29"/>
        <v>511.5</v>
      </c>
      <c r="Q106" s="234">
        <f t="shared" si="29"/>
        <v>0</v>
      </c>
      <c r="R106" s="234">
        <f t="shared" si="29"/>
        <v>532.7</v>
      </c>
      <c r="S106" s="234">
        <f t="shared" si="29"/>
        <v>0</v>
      </c>
      <c r="T106" s="142"/>
      <c r="U106" s="7"/>
    </row>
    <row r="107" spans="1:20" ht="39.75" customHeight="1">
      <c r="A107" s="309" t="s">
        <v>225</v>
      </c>
      <c r="B107" s="309"/>
      <c r="C107" s="309"/>
      <c r="D107" s="309"/>
      <c r="E107" s="309"/>
      <c r="F107" s="309"/>
      <c r="G107" s="309"/>
      <c r="H107" s="309"/>
      <c r="I107" s="167">
        <v>653</v>
      </c>
      <c r="J107" s="166">
        <v>5</v>
      </c>
      <c r="K107" s="166">
        <v>1</v>
      </c>
      <c r="L107" s="192" t="s">
        <v>464</v>
      </c>
      <c r="M107" s="167">
        <v>0</v>
      </c>
      <c r="N107" s="168">
        <f>N108</f>
        <v>402.087</v>
      </c>
      <c r="O107" s="168">
        <f t="shared" si="29"/>
        <v>0</v>
      </c>
      <c r="P107" s="168">
        <f t="shared" si="29"/>
        <v>511.5</v>
      </c>
      <c r="Q107" s="168">
        <f t="shared" si="29"/>
        <v>0</v>
      </c>
      <c r="R107" s="168">
        <f t="shared" si="29"/>
        <v>532.7</v>
      </c>
      <c r="S107" s="168">
        <f t="shared" si="29"/>
        <v>0</v>
      </c>
      <c r="T107" s="142"/>
    </row>
    <row r="108" spans="1:20" ht="27.75" customHeight="1">
      <c r="A108" s="309" t="s">
        <v>205</v>
      </c>
      <c r="B108" s="309"/>
      <c r="C108" s="309"/>
      <c r="D108" s="309"/>
      <c r="E108" s="309"/>
      <c r="F108" s="309"/>
      <c r="G108" s="309"/>
      <c r="H108" s="309"/>
      <c r="I108" s="167">
        <v>653</v>
      </c>
      <c r="J108" s="166">
        <v>5</v>
      </c>
      <c r="K108" s="166">
        <v>1</v>
      </c>
      <c r="L108" s="192" t="s">
        <v>464</v>
      </c>
      <c r="M108" s="167">
        <v>200</v>
      </c>
      <c r="N108" s="168">
        <f>N109</f>
        <v>402.087</v>
      </c>
      <c r="O108" s="168">
        <f t="shared" si="29"/>
        <v>0</v>
      </c>
      <c r="P108" s="168">
        <f t="shared" si="29"/>
        <v>511.5</v>
      </c>
      <c r="Q108" s="168">
        <f t="shared" si="29"/>
        <v>0</v>
      </c>
      <c r="R108" s="168">
        <f t="shared" si="29"/>
        <v>532.7</v>
      </c>
      <c r="S108" s="168">
        <f t="shared" si="29"/>
        <v>0</v>
      </c>
      <c r="T108" s="142"/>
    </row>
    <row r="109" spans="1:20" ht="27.75" customHeight="1">
      <c r="A109" s="309" t="s">
        <v>202</v>
      </c>
      <c r="B109" s="309"/>
      <c r="C109" s="309"/>
      <c r="D109" s="309"/>
      <c r="E109" s="309"/>
      <c r="F109" s="309"/>
      <c r="G109" s="309"/>
      <c r="H109" s="309"/>
      <c r="I109" s="167">
        <v>653</v>
      </c>
      <c r="J109" s="166">
        <v>5</v>
      </c>
      <c r="K109" s="166">
        <v>1</v>
      </c>
      <c r="L109" s="192" t="s">
        <v>464</v>
      </c>
      <c r="M109" s="167">
        <v>240</v>
      </c>
      <c r="N109" s="168">
        <f>N110</f>
        <v>402.087</v>
      </c>
      <c r="O109" s="168">
        <f>O110</f>
        <v>0</v>
      </c>
      <c r="P109" s="168">
        <f>P110</f>
        <v>511.5</v>
      </c>
      <c r="Q109" s="168">
        <f>Q110</f>
        <v>0</v>
      </c>
      <c r="R109" s="168">
        <f>R110</f>
        <v>532.7</v>
      </c>
      <c r="S109" s="168">
        <f>S110</f>
        <v>0</v>
      </c>
      <c r="T109" s="142"/>
    </row>
    <row r="110" spans="1:21" ht="26.25" customHeight="1">
      <c r="A110" s="309" t="s">
        <v>314</v>
      </c>
      <c r="B110" s="309"/>
      <c r="C110" s="309"/>
      <c r="D110" s="309"/>
      <c r="E110" s="309"/>
      <c r="F110" s="309"/>
      <c r="G110" s="309"/>
      <c r="H110" s="309"/>
      <c r="I110" s="167">
        <v>653</v>
      </c>
      <c r="J110" s="166">
        <v>5</v>
      </c>
      <c r="K110" s="166">
        <v>1</v>
      </c>
      <c r="L110" s="192" t="s">
        <v>464</v>
      </c>
      <c r="M110" s="167">
        <v>244</v>
      </c>
      <c r="N110" s="168">
        <v>402.087</v>
      </c>
      <c r="O110" s="168">
        <v>0</v>
      </c>
      <c r="P110" s="168">
        <f>422.5+89</f>
        <v>511.5</v>
      </c>
      <c r="Q110" s="168">
        <v>0</v>
      </c>
      <c r="R110" s="239">
        <f>443.7+89</f>
        <v>532.7</v>
      </c>
      <c r="S110" s="168">
        <v>0</v>
      </c>
      <c r="T110" s="142"/>
      <c r="U110" s="7"/>
    </row>
    <row r="111" spans="1:21" ht="42" customHeight="1">
      <c r="A111" s="304" t="s">
        <v>226</v>
      </c>
      <c r="B111" s="304"/>
      <c r="C111" s="304"/>
      <c r="D111" s="304"/>
      <c r="E111" s="178"/>
      <c r="F111" s="178"/>
      <c r="G111" s="178"/>
      <c r="H111" s="178"/>
      <c r="I111" s="179">
        <v>653</v>
      </c>
      <c r="J111" s="270">
        <v>5</v>
      </c>
      <c r="K111" s="270">
        <v>1</v>
      </c>
      <c r="L111" s="272" t="s">
        <v>424</v>
      </c>
      <c r="M111" s="179">
        <v>0</v>
      </c>
      <c r="N111" s="234">
        <f aca="true" t="shared" si="30" ref="N111:S112">N112</f>
        <v>1721.7</v>
      </c>
      <c r="O111" s="234">
        <f t="shared" si="30"/>
        <v>0</v>
      </c>
      <c r="P111" s="234">
        <f t="shared" si="30"/>
        <v>2423.8095</v>
      </c>
      <c r="Q111" s="234">
        <f t="shared" si="30"/>
        <v>0</v>
      </c>
      <c r="R111" s="234">
        <f t="shared" si="30"/>
        <v>1877.33</v>
      </c>
      <c r="S111" s="234">
        <f t="shared" si="30"/>
        <v>0</v>
      </c>
      <c r="T111" s="142"/>
      <c r="U111" s="7"/>
    </row>
    <row r="112" spans="1:21" ht="39.75" customHeight="1">
      <c r="A112" s="305" t="s">
        <v>227</v>
      </c>
      <c r="B112" s="305"/>
      <c r="C112" s="305"/>
      <c r="D112" s="305"/>
      <c r="E112" s="198"/>
      <c r="F112" s="198"/>
      <c r="G112" s="198"/>
      <c r="H112" s="198"/>
      <c r="I112" s="167">
        <v>653</v>
      </c>
      <c r="J112" s="166">
        <v>5</v>
      </c>
      <c r="K112" s="166">
        <v>1</v>
      </c>
      <c r="L112" s="192" t="s">
        <v>460</v>
      </c>
      <c r="M112" s="167">
        <v>0</v>
      </c>
      <c r="N112" s="168">
        <f t="shared" si="30"/>
        <v>1721.7</v>
      </c>
      <c r="O112" s="168">
        <f t="shared" si="30"/>
        <v>0</v>
      </c>
      <c r="P112" s="168">
        <f t="shared" si="30"/>
        <v>2423.8095</v>
      </c>
      <c r="Q112" s="168">
        <f t="shared" si="30"/>
        <v>0</v>
      </c>
      <c r="R112" s="168">
        <f t="shared" si="30"/>
        <v>1877.33</v>
      </c>
      <c r="S112" s="168">
        <f t="shared" si="30"/>
        <v>0</v>
      </c>
      <c r="T112" s="142"/>
      <c r="U112" s="7"/>
    </row>
    <row r="113" spans="1:20" ht="15.75" customHeight="1">
      <c r="A113" s="309" t="s">
        <v>206</v>
      </c>
      <c r="B113" s="309"/>
      <c r="C113" s="309"/>
      <c r="D113" s="309"/>
      <c r="E113" s="309"/>
      <c r="F113" s="309"/>
      <c r="G113" s="309"/>
      <c r="H113" s="309"/>
      <c r="I113" s="167">
        <v>653</v>
      </c>
      <c r="J113" s="166">
        <v>5</v>
      </c>
      <c r="K113" s="166">
        <v>1</v>
      </c>
      <c r="L113" s="192" t="s">
        <v>460</v>
      </c>
      <c r="M113" s="167">
        <v>800</v>
      </c>
      <c r="N113" s="168">
        <f>N114</f>
        <v>1721.7</v>
      </c>
      <c r="O113" s="168">
        <v>0</v>
      </c>
      <c r="P113" s="168">
        <f>P114</f>
        <v>2423.8095</v>
      </c>
      <c r="Q113" s="168">
        <f>Q114</f>
        <v>0</v>
      </c>
      <c r="R113" s="168">
        <f>R114</f>
        <v>1877.33</v>
      </c>
      <c r="S113" s="168">
        <f>S114</f>
        <v>0</v>
      </c>
      <c r="T113" s="142"/>
    </row>
    <row r="114" spans="1:21" ht="41.25" customHeight="1">
      <c r="A114" s="309" t="s">
        <v>254</v>
      </c>
      <c r="B114" s="309"/>
      <c r="C114" s="309"/>
      <c r="D114" s="309"/>
      <c r="E114" s="309"/>
      <c r="F114" s="309"/>
      <c r="G114" s="309"/>
      <c r="H114" s="309"/>
      <c r="I114" s="167">
        <v>653</v>
      </c>
      <c r="J114" s="166">
        <v>5</v>
      </c>
      <c r="K114" s="166">
        <v>1</v>
      </c>
      <c r="L114" s="192" t="s">
        <v>460</v>
      </c>
      <c r="M114" s="167">
        <v>810</v>
      </c>
      <c r="N114" s="168">
        <v>1721.7</v>
      </c>
      <c r="O114" s="168">
        <v>0</v>
      </c>
      <c r="P114" s="168">
        <v>2423.8095</v>
      </c>
      <c r="Q114" s="168">
        <v>0</v>
      </c>
      <c r="R114" s="239">
        <v>1877.33</v>
      </c>
      <c r="S114" s="168">
        <v>0</v>
      </c>
      <c r="T114" s="142"/>
      <c r="U114" s="7"/>
    </row>
    <row r="115" spans="1:20" ht="19.5" customHeight="1">
      <c r="A115" s="303" t="s">
        <v>288</v>
      </c>
      <c r="B115" s="303"/>
      <c r="C115" s="303"/>
      <c r="D115" s="303"/>
      <c r="E115" s="303"/>
      <c r="F115" s="303"/>
      <c r="G115" s="303"/>
      <c r="H115" s="303"/>
      <c r="I115" s="179">
        <v>653</v>
      </c>
      <c r="J115" s="270">
        <v>5</v>
      </c>
      <c r="K115" s="270">
        <v>2</v>
      </c>
      <c r="L115" s="272" t="s">
        <v>401</v>
      </c>
      <c r="M115" s="179">
        <v>0</v>
      </c>
      <c r="N115" s="234">
        <f aca="true" t="shared" si="31" ref="N115:S115">N117</f>
        <v>2669.4</v>
      </c>
      <c r="O115" s="234">
        <f t="shared" si="31"/>
        <v>0</v>
      </c>
      <c r="P115" s="234">
        <f t="shared" si="31"/>
        <v>6865.7</v>
      </c>
      <c r="Q115" s="234">
        <f t="shared" si="31"/>
        <v>0</v>
      </c>
      <c r="R115" s="234">
        <f t="shared" si="31"/>
        <v>4674.9</v>
      </c>
      <c r="S115" s="234">
        <f t="shared" si="31"/>
        <v>0</v>
      </c>
      <c r="T115" s="142"/>
    </row>
    <row r="116" spans="1:20" ht="69.75" customHeight="1">
      <c r="A116" s="304" t="s">
        <v>216</v>
      </c>
      <c r="B116" s="304"/>
      <c r="C116" s="304"/>
      <c r="D116" s="304"/>
      <c r="E116" s="178"/>
      <c r="F116" s="178"/>
      <c r="G116" s="178"/>
      <c r="H116" s="178"/>
      <c r="I116" s="179">
        <v>653</v>
      </c>
      <c r="J116" s="270">
        <v>5</v>
      </c>
      <c r="K116" s="270">
        <v>2</v>
      </c>
      <c r="L116" s="273" t="s">
        <v>453</v>
      </c>
      <c r="M116" s="179">
        <v>0</v>
      </c>
      <c r="N116" s="234">
        <f aca="true" t="shared" si="32" ref="N116:S118">N117</f>
        <v>2669.4</v>
      </c>
      <c r="O116" s="234">
        <f t="shared" si="32"/>
        <v>0</v>
      </c>
      <c r="P116" s="234">
        <f t="shared" si="32"/>
        <v>6865.7</v>
      </c>
      <c r="Q116" s="234">
        <f t="shared" si="32"/>
        <v>0</v>
      </c>
      <c r="R116" s="234">
        <f t="shared" si="32"/>
        <v>4674.9</v>
      </c>
      <c r="S116" s="234">
        <f t="shared" si="32"/>
        <v>0</v>
      </c>
      <c r="T116" s="142"/>
    </row>
    <row r="117" spans="1:20" ht="19.5" customHeight="1">
      <c r="A117" s="309" t="s">
        <v>298</v>
      </c>
      <c r="B117" s="309"/>
      <c r="C117" s="309"/>
      <c r="D117" s="309"/>
      <c r="E117" s="309"/>
      <c r="F117" s="309"/>
      <c r="G117" s="309"/>
      <c r="H117" s="309"/>
      <c r="I117" s="167">
        <v>653</v>
      </c>
      <c r="J117" s="166">
        <v>5</v>
      </c>
      <c r="K117" s="166">
        <v>2</v>
      </c>
      <c r="L117" s="197" t="s">
        <v>454</v>
      </c>
      <c r="M117" s="167">
        <v>0</v>
      </c>
      <c r="N117" s="168">
        <f>N118</f>
        <v>2669.4</v>
      </c>
      <c r="O117" s="168">
        <f t="shared" si="32"/>
        <v>0</v>
      </c>
      <c r="P117" s="168">
        <f t="shared" si="32"/>
        <v>6865.7</v>
      </c>
      <c r="Q117" s="168">
        <f t="shared" si="32"/>
        <v>0</v>
      </c>
      <c r="R117" s="168">
        <f t="shared" si="32"/>
        <v>4674.9</v>
      </c>
      <c r="S117" s="168">
        <f t="shared" si="32"/>
        <v>0</v>
      </c>
      <c r="T117" s="142"/>
    </row>
    <row r="118" spans="1:20" ht="19.5" customHeight="1">
      <c r="A118" s="309" t="s">
        <v>204</v>
      </c>
      <c r="B118" s="309"/>
      <c r="C118" s="309"/>
      <c r="D118" s="309"/>
      <c r="E118" s="309"/>
      <c r="F118" s="198"/>
      <c r="G118" s="198"/>
      <c r="H118" s="198"/>
      <c r="I118" s="167">
        <v>653</v>
      </c>
      <c r="J118" s="166">
        <v>5</v>
      </c>
      <c r="K118" s="166">
        <v>2</v>
      </c>
      <c r="L118" s="197" t="s">
        <v>454</v>
      </c>
      <c r="M118" s="167">
        <v>500</v>
      </c>
      <c r="N118" s="168">
        <f>N119</f>
        <v>2669.4</v>
      </c>
      <c r="O118" s="168">
        <f t="shared" si="32"/>
        <v>0</v>
      </c>
      <c r="P118" s="168">
        <f t="shared" si="32"/>
        <v>6865.7</v>
      </c>
      <c r="Q118" s="168">
        <f t="shared" si="32"/>
        <v>0</v>
      </c>
      <c r="R118" s="168">
        <f t="shared" si="32"/>
        <v>4674.9</v>
      </c>
      <c r="S118" s="168">
        <f t="shared" si="32"/>
        <v>0</v>
      </c>
      <c r="T118" s="142"/>
    </row>
    <row r="119" spans="1:20" ht="19.5" customHeight="1">
      <c r="A119" s="309" t="s">
        <v>298</v>
      </c>
      <c r="B119" s="309"/>
      <c r="C119" s="309"/>
      <c r="D119" s="309"/>
      <c r="E119" s="309"/>
      <c r="F119" s="309"/>
      <c r="G119" s="309"/>
      <c r="H119" s="309"/>
      <c r="I119" s="167">
        <v>653</v>
      </c>
      <c r="J119" s="166">
        <v>5</v>
      </c>
      <c r="K119" s="166">
        <v>2</v>
      </c>
      <c r="L119" s="197" t="s">
        <v>454</v>
      </c>
      <c r="M119" s="167">
        <v>540</v>
      </c>
      <c r="N119" s="168">
        <v>2669.4</v>
      </c>
      <c r="O119" s="168">
        <v>0</v>
      </c>
      <c r="P119" s="168">
        <v>6865.7</v>
      </c>
      <c r="Q119" s="168">
        <v>0</v>
      </c>
      <c r="R119" s="239">
        <v>4674.9</v>
      </c>
      <c r="S119" s="168">
        <v>0</v>
      </c>
      <c r="T119" s="142"/>
    </row>
    <row r="120" spans="1:20" ht="19.5" customHeight="1">
      <c r="A120" s="303" t="s">
        <v>287</v>
      </c>
      <c r="B120" s="303"/>
      <c r="C120" s="303"/>
      <c r="D120" s="303"/>
      <c r="E120" s="303"/>
      <c r="F120" s="303"/>
      <c r="G120" s="303"/>
      <c r="H120" s="303"/>
      <c r="I120" s="179">
        <v>653</v>
      </c>
      <c r="J120" s="270">
        <v>5</v>
      </c>
      <c r="K120" s="270">
        <v>3</v>
      </c>
      <c r="L120" s="272" t="s">
        <v>385</v>
      </c>
      <c r="M120" s="179">
        <v>0</v>
      </c>
      <c r="N120" s="234">
        <f aca="true" t="shared" si="33" ref="N120:S120">N124</f>
        <v>300</v>
      </c>
      <c r="O120" s="234">
        <f t="shared" si="33"/>
        <v>0</v>
      </c>
      <c r="P120" s="234">
        <f t="shared" si="33"/>
        <v>615</v>
      </c>
      <c r="Q120" s="234">
        <f t="shared" si="33"/>
        <v>0</v>
      </c>
      <c r="R120" s="234">
        <f t="shared" si="33"/>
        <v>300</v>
      </c>
      <c r="S120" s="234">
        <f t="shared" si="33"/>
        <v>0</v>
      </c>
      <c r="T120" s="142"/>
    </row>
    <row r="121" spans="1:21" ht="38.25" customHeight="1">
      <c r="A121" s="304" t="s">
        <v>226</v>
      </c>
      <c r="B121" s="304"/>
      <c r="C121" s="304"/>
      <c r="D121" s="304"/>
      <c r="E121" s="178"/>
      <c r="F121" s="178"/>
      <c r="G121" s="178"/>
      <c r="H121" s="178"/>
      <c r="I121" s="179">
        <v>653</v>
      </c>
      <c r="J121" s="270">
        <v>5</v>
      </c>
      <c r="K121" s="270">
        <v>3</v>
      </c>
      <c r="L121" s="272" t="s">
        <v>424</v>
      </c>
      <c r="M121" s="179">
        <v>0</v>
      </c>
      <c r="N121" s="234">
        <f aca="true" t="shared" si="34" ref="N121:S123">N122</f>
        <v>300</v>
      </c>
      <c r="O121" s="234">
        <f t="shared" si="34"/>
        <v>0</v>
      </c>
      <c r="P121" s="234">
        <f t="shared" si="34"/>
        <v>615</v>
      </c>
      <c r="Q121" s="234">
        <f t="shared" si="34"/>
        <v>0</v>
      </c>
      <c r="R121" s="234">
        <f t="shared" si="34"/>
        <v>300</v>
      </c>
      <c r="S121" s="234">
        <f t="shared" si="34"/>
        <v>0</v>
      </c>
      <c r="T121" s="142"/>
      <c r="U121" s="7"/>
    </row>
    <row r="122" spans="1:21" ht="51.75" customHeight="1">
      <c r="A122" s="305" t="s">
        <v>228</v>
      </c>
      <c r="B122" s="305"/>
      <c r="C122" s="305"/>
      <c r="D122" s="305"/>
      <c r="E122" s="198"/>
      <c r="F122" s="198"/>
      <c r="G122" s="198"/>
      <c r="H122" s="198"/>
      <c r="I122" s="167">
        <v>653</v>
      </c>
      <c r="J122" s="166">
        <v>5</v>
      </c>
      <c r="K122" s="166">
        <v>3</v>
      </c>
      <c r="L122" s="192" t="s">
        <v>462</v>
      </c>
      <c r="M122" s="167">
        <v>0</v>
      </c>
      <c r="N122" s="168">
        <f>N123</f>
        <v>300</v>
      </c>
      <c r="O122" s="168">
        <f t="shared" si="34"/>
        <v>0</v>
      </c>
      <c r="P122" s="168">
        <f t="shared" si="34"/>
        <v>615</v>
      </c>
      <c r="Q122" s="168">
        <f t="shared" si="34"/>
        <v>0</v>
      </c>
      <c r="R122" s="168">
        <f t="shared" si="34"/>
        <v>300</v>
      </c>
      <c r="S122" s="168">
        <f t="shared" si="34"/>
        <v>0</v>
      </c>
      <c r="T122" s="142"/>
      <c r="U122" s="7"/>
    </row>
    <row r="123" spans="1:21" ht="30" customHeight="1">
      <c r="A123" s="309" t="s">
        <v>205</v>
      </c>
      <c r="B123" s="309"/>
      <c r="C123" s="309"/>
      <c r="D123" s="309"/>
      <c r="E123" s="309"/>
      <c r="F123" s="309"/>
      <c r="G123" s="309"/>
      <c r="H123" s="309"/>
      <c r="I123" s="167">
        <v>653</v>
      </c>
      <c r="J123" s="166">
        <v>5</v>
      </c>
      <c r="K123" s="166">
        <v>3</v>
      </c>
      <c r="L123" s="192" t="s">
        <v>462</v>
      </c>
      <c r="M123" s="167">
        <v>200</v>
      </c>
      <c r="N123" s="168">
        <f>N124</f>
        <v>300</v>
      </c>
      <c r="O123" s="168">
        <f t="shared" si="34"/>
        <v>0</v>
      </c>
      <c r="P123" s="168">
        <f t="shared" si="34"/>
        <v>615</v>
      </c>
      <c r="Q123" s="168">
        <f t="shared" si="34"/>
        <v>0</v>
      </c>
      <c r="R123" s="168">
        <f t="shared" si="34"/>
        <v>300</v>
      </c>
      <c r="S123" s="168">
        <f t="shared" si="34"/>
        <v>0</v>
      </c>
      <c r="T123" s="142"/>
      <c r="U123" s="7"/>
    </row>
    <row r="124" spans="1:20" ht="28.5" customHeight="1">
      <c r="A124" s="309" t="s">
        <v>202</v>
      </c>
      <c r="B124" s="309"/>
      <c r="C124" s="309"/>
      <c r="D124" s="309"/>
      <c r="E124" s="309"/>
      <c r="F124" s="309"/>
      <c r="G124" s="309"/>
      <c r="H124" s="309"/>
      <c r="I124" s="167">
        <v>653</v>
      </c>
      <c r="J124" s="166">
        <v>5</v>
      </c>
      <c r="K124" s="166">
        <v>3</v>
      </c>
      <c r="L124" s="192" t="s">
        <v>462</v>
      </c>
      <c r="M124" s="167">
        <v>240</v>
      </c>
      <c r="N124" s="168">
        <f aca="true" t="shared" si="35" ref="N124:S124">N125</f>
        <v>300</v>
      </c>
      <c r="O124" s="168">
        <f t="shared" si="35"/>
        <v>0</v>
      </c>
      <c r="P124" s="168">
        <f t="shared" si="35"/>
        <v>615</v>
      </c>
      <c r="Q124" s="168">
        <f t="shared" si="35"/>
        <v>0</v>
      </c>
      <c r="R124" s="168">
        <f t="shared" si="35"/>
        <v>300</v>
      </c>
      <c r="S124" s="168">
        <f t="shared" si="35"/>
        <v>0</v>
      </c>
      <c r="T124" s="142"/>
    </row>
    <row r="125" spans="1:20" ht="26.25" customHeight="1">
      <c r="A125" s="309" t="s">
        <v>314</v>
      </c>
      <c r="B125" s="309"/>
      <c r="C125" s="309"/>
      <c r="D125" s="309"/>
      <c r="E125" s="309"/>
      <c r="F125" s="309"/>
      <c r="G125" s="309"/>
      <c r="H125" s="309"/>
      <c r="I125" s="167">
        <v>653</v>
      </c>
      <c r="J125" s="166">
        <v>5</v>
      </c>
      <c r="K125" s="166">
        <v>3</v>
      </c>
      <c r="L125" s="192" t="s">
        <v>462</v>
      </c>
      <c r="M125" s="167">
        <v>244</v>
      </c>
      <c r="N125" s="168">
        <v>300</v>
      </c>
      <c r="O125" s="168">
        <v>0</v>
      </c>
      <c r="P125" s="168">
        <v>615</v>
      </c>
      <c r="Q125" s="168">
        <v>0</v>
      </c>
      <c r="R125" s="239">
        <v>300</v>
      </c>
      <c r="S125" s="168">
        <v>0</v>
      </c>
      <c r="T125" s="142"/>
    </row>
    <row r="126" spans="1:20" ht="19.5" customHeight="1">
      <c r="A126" s="303" t="s">
        <v>217</v>
      </c>
      <c r="B126" s="303"/>
      <c r="C126" s="303"/>
      <c r="D126" s="303"/>
      <c r="E126" s="303"/>
      <c r="F126" s="303"/>
      <c r="G126" s="303"/>
      <c r="H126" s="303"/>
      <c r="I126" s="179">
        <v>653</v>
      </c>
      <c r="J126" s="270">
        <v>8</v>
      </c>
      <c r="K126" s="270">
        <v>0</v>
      </c>
      <c r="L126" s="272" t="s">
        <v>402</v>
      </c>
      <c r="M126" s="179">
        <v>0</v>
      </c>
      <c r="N126" s="234">
        <v>4688.6</v>
      </c>
      <c r="O126" s="234">
        <f>O127+O140</f>
        <v>0</v>
      </c>
      <c r="P126" s="234">
        <f>P127+P140</f>
        <v>3603.86047</v>
      </c>
      <c r="Q126" s="234">
        <f>Q127+Q140</f>
        <v>0</v>
      </c>
      <c r="R126" s="234">
        <f>R127+R140</f>
        <v>3316.791521</v>
      </c>
      <c r="S126" s="234">
        <f>S127+S140</f>
        <v>0</v>
      </c>
      <c r="T126" s="142"/>
    </row>
    <row r="127" spans="1:20" ht="19.5">
      <c r="A127" s="303" t="s">
        <v>286</v>
      </c>
      <c r="B127" s="303"/>
      <c r="C127" s="303"/>
      <c r="D127" s="303"/>
      <c r="E127" s="303"/>
      <c r="F127" s="303"/>
      <c r="G127" s="303"/>
      <c r="H127" s="303"/>
      <c r="I127" s="167">
        <v>653</v>
      </c>
      <c r="J127" s="270">
        <v>8</v>
      </c>
      <c r="K127" s="270">
        <v>1</v>
      </c>
      <c r="L127" s="272" t="s">
        <v>402</v>
      </c>
      <c r="M127" s="179">
        <v>0</v>
      </c>
      <c r="N127" s="234">
        <v>4245</v>
      </c>
      <c r="O127" s="234">
        <f>O129</f>
        <v>0</v>
      </c>
      <c r="P127" s="234">
        <f>P129</f>
        <v>3160.30483</v>
      </c>
      <c r="Q127" s="234">
        <f>Q129</f>
        <v>0</v>
      </c>
      <c r="R127" s="234">
        <f>R129</f>
        <v>2833.880317</v>
      </c>
      <c r="S127" s="234">
        <f>S129</f>
        <v>0</v>
      </c>
      <c r="T127" s="142"/>
    </row>
    <row r="128" spans="1:21" ht="36" customHeight="1">
      <c r="A128" s="304" t="s">
        <v>218</v>
      </c>
      <c r="B128" s="304"/>
      <c r="C128" s="304"/>
      <c r="D128" s="304"/>
      <c r="E128" s="178"/>
      <c r="F128" s="178"/>
      <c r="G128" s="178"/>
      <c r="H128" s="178"/>
      <c r="I128" s="179">
        <v>653</v>
      </c>
      <c r="J128" s="270">
        <v>8</v>
      </c>
      <c r="K128" s="270">
        <v>1</v>
      </c>
      <c r="L128" s="272" t="s">
        <v>402</v>
      </c>
      <c r="M128" s="179">
        <v>0</v>
      </c>
      <c r="N128" s="234">
        <v>4245</v>
      </c>
      <c r="O128" s="234">
        <f>O129</f>
        <v>0</v>
      </c>
      <c r="P128" s="234">
        <f>P129</f>
        <v>3160.30483</v>
      </c>
      <c r="Q128" s="234">
        <f>Q129</f>
        <v>0</v>
      </c>
      <c r="R128" s="234">
        <f>R129</f>
        <v>2833.880317</v>
      </c>
      <c r="S128" s="234">
        <f>S129</f>
        <v>0</v>
      </c>
      <c r="T128" s="142"/>
      <c r="U128" s="7"/>
    </row>
    <row r="129" spans="1:20" ht="37.5" customHeight="1">
      <c r="A129" s="309" t="s">
        <v>219</v>
      </c>
      <c r="B129" s="309"/>
      <c r="C129" s="309"/>
      <c r="D129" s="309"/>
      <c r="E129" s="309"/>
      <c r="F129" s="309"/>
      <c r="G129" s="309"/>
      <c r="H129" s="309"/>
      <c r="I129" s="167">
        <v>653</v>
      </c>
      <c r="J129" s="166">
        <v>8</v>
      </c>
      <c r="K129" s="166">
        <v>1</v>
      </c>
      <c r="L129" s="192" t="s">
        <v>403</v>
      </c>
      <c r="M129" s="167">
        <v>0</v>
      </c>
      <c r="N129" s="168">
        <v>3156.7</v>
      </c>
      <c r="O129" s="168">
        <f>O131+O132+O136+O137</f>
        <v>0</v>
      </c>
      <c r="P129" s="168">
        <f>P131+P132+P136+P137</f>
        <v>3160.30483</v>
      </c>
      <c r="Q129" s="168">
        <f>Q131+Q132+Q136+Q137</f>
        <v>0</v>
      </c>
      <c r="R129" s="168">
        <f>R131+R132+R136+R137</f>
        <v>2833.880317</v>
      </c>
      <c r="S129" s="168">
        <f>S131+S132+S136+S137</f>
        <v>0</v>
      </c>
      <c r="T129" s="142"/>
    </row>
    <row r="130" spans="1:21" s="8" customFormat="1" ht="21" customHeight="1">
      <c r="A130" s="309" t="s">
        <v>210</v>
      </c>
      <c r="B130" s="309"/>
      <c r="C130" s="309"/>
      <c r="D130" s="309"/>
      <c r="E130" s="309"/>
      <c r="F130" s="309"/>
      <c r="G130" s="309"/>
      <c r="H130" s="309"/>
      <c r="I130" s="167">
        <v>653</v>
      </c>
      <c r="J130" s="166">
        <v>8</v>
      </c>
      <c r="K130" s="166">
        <v>1</v>
      </c>
      <c r="L130" s="192" t="s">
        <v>403</v>
      </c>
      <c r="M130" s="167">
        <v>110</v>
      </c>
      <c r="N130" s="168">
        <f aca="true" t="shared" si="36" ref="N130:S130">SUM(N131+N132)</f>
        <v>2459.3</v>
      </c>
      <c r="O130" s="168">
        <f t="shared" si="36"/>
        <v>0</v>
      </c>
      <c r="P130" s="168">
        <f t="shared" si="36"/>
        <v>1658.61847</v>
      </c>
      <c r="Q130" s="168">
        <f t="shared" si="36"/>
        <v>0</v>
      </c>
      <c r="R130" s="168">
        <f t="shared" si="36"/>
        <v>1814.480317</v>
      </c>
      <c r="S130" s="168">
        <f t="shared" si="36"/>
        <v>0</v>
      </c>
      <c r="T130" s="142"/>
      <c r="U130" s="145"/>
    </row>
    <row r="131" spans="1:20" ht="21" customHeight="1">
      <c r="A131" s="309" t="s">
        <v>394</v>
      </c>
      <c r="B131" s="309"/>
      <c r="C131" s="309"/>
      <c r="D131" s="309"/>
      <c r="E131" s="309"/>
      <c r="F131" s="309"/>
      <c r="G131" s="309"/>
      <c r="H131" s="309"/>
      <c r="I131" s="167">
        <v>653</v>
      </c>
      <c r="J131" s="166">
        <v>8</v>
      </c>
      <c r="K131" s="166">
        <v>1</v>
      </c>
      <c r="L131" s="192" t="s">
        <v>403</v>
      </c>
      <c r="M131" s="167">
        <v>111</v>
      </c>
      <c r="N131" s="168">
        <v>2309.3</v>
      </c>
      <c r="O131" s="168">
        <v>0</v>
      </c>
      <c r="P131" s="168">
        <v>1558.61847</v>
      </c>
      <c r="Q131" s="168">
        <v>0</v>
      </c>
      <c r="R131" s="168">
        <f>1558.61847*1.1</f>
        <v>1714.480317</v>
      </c>
      <c r="S131" s="168">
        <v>0</v>
      </c>
      <c r="T131" s="142"/>
    </row>
    <row r="132" spans="1:20" ht="31.5" customHeight="1">
      <c r="A132" s="309" t="s">
        <v>211</v>
      </c>
      <c r="B132" s="309"/>
      <c r="C132" s="309"/>
      <c r="D132" s="309"/>
      <c r="E132" s="309"/>
      <c r="F132" s="309"/>
      <c r="G132" s="309"/>
      <c r="H132" s="309"/>
      <c r="I132" s="167">
        <v>653</v>
      </c>
      <c r="J132" s="166">
        <v>8</v>
      </c>
      <c r="K132" s="166">
        <v>1</v>
      </c>
      <c r="L132" s="192" t="s">
        <v>403</v>
      </c>
      <c r="M132" s="167">
        <v>112</v>
      </c>
      <c r="N132" s="168">
        <v>150</v>
      </c>
      <c r="O132" s="168">
        <v>0</v>
      </c>
      <c r="P132" s="168">
        <v>100</v>
      </c>
      <c r="Q132" s="168">
        <v>0</v>
      </c>
      <c r="R132" s="168">
        <v>100</v>
      </c>
      <c r="S132" s="168">
        <v>0</v>
      </c>
      <c r="T132" s="142"/>
    </row>
    <row r="133" spans="1:20" ht="38.25" customHeight="1">
      <c r="A133" s="306" t="s">
        <v>447</v>
      </c>
      <c r="B133" s="307"/>
      <c r="C133" s="307"/>
      <c r="D133" s="308"/>
      <c r="E133" s="198"/>
      <c r="F133" s="198"/>
      <c r="G133" s="198"/>
      <c r="H133" s="198"/>
      <c r="I133" s="167">
        <v>653</v>
      </c>
      <c r="J133" s="166">
        <v>8</v>
      </c>
      <c r="K133" s="166">
        <v>1</v>
      </c>
      <c r="L133" s="192" t="s">
        <v>403</v>
      </c>
      <c r="M133" s="167">
        <v>119</v>
      </c>
      <c r="N133" s="168">
        <v>697.4</v>
      </c>
      <c r="O133" s="168">
        <v>0</v>
      </c>
      <c r="P133" s="168"/>
      <c r="Q133" s="168"/>
      <c r="R133" s="168"/>
      <c r="S133" s="168"/>
      <c r="T133" s="142"/>
    </row>
    <row r="134" spans="1:20" ht="27.75" customHeight="1">
      <c r="A134" s="309" t="s">
        <v>205</v>
      </c>
      <c r="B134" s="309"/>
      <c r="C134" s="309"/>
      <c r="D134" s="309"/>
      <c r="E134" s="309"/>
      <c r="F134" s="309"/>
      <c r="G134" s="309"/>
      <c r="H134" s="309"/>
      <c r="I134" s="167">
        <v>653</v>
      </c>
      <c r="J134" s="166">
        <v>4</v>
      </c>
      <c r="K134" s="166">
        <v>9</v>
      </c>
      <c r="L134" s="192" t="s">
        <v>403</v>
      </c>
      <c r="M134" s="167">
        <v>200</v>
      </c>
      <c r="N134" s="168">
        <f aca="true" t="shared" si="37" ref="N134:S134">N135</f>
        <v>1073.26636</v>
      </c>
      <c r="O134" s="168">
        <f t="shared" si="37"/>
        <v>0</v>
      </c>
      <c r="P134" s="168">
        <f t="shared" si="37"/>
        <v>1501.68636</v>
      </c>
      <c r="Q134" s="168">
        <f t="shared" si="37"/>
        <v>0</v>
      </c>
      <c r="R134" s="168">
        <f t="shared" si="37"/>
        <v>1019.4</v>
      </c>
      <c r="S134" s="168">
        <f t="shared" si="37"/>
        <v>0</v>
      </c>
      <c r="T134" s="142"/>
    </row>
    <row r="135" spans="1:20" ht="27.75" customHeight="1">
      <c r="A135" s="309" t="s">
        <v>202</v>
      </c>
      <c r="B135" s="309"/>
      <c r="C135" s="309"/>
      <c r="D135" s="309"/>
      <c r="E135" s="309"/>
      <c r="F135" s="309"/>
      <c r="G135" s="309"/>
      <c r="H135" s="309"/>
      <c r="I135" s="167">
        <v>653</v>
      </c>
      <c r="J135" s="166">
        <v>4</v>
      </c>
      <c r="K135" s="166">
        <v>9</v>
      </c>
      <c r="L135" s="192" t="s">
        <v>403</v>
      </c>
      <c r="M135" s="167">
        <v>240</v>
      </c>
      <c r="N135" s="168">
        <f>N136+N137</f>
        <v>1073.26636</v>
      </c>
      <c r="O135" s="168">
        <f>O136</f>
        <v>0</v>
      </c>
      <c r="P135" s="168">
        <f>P136+P137</f>
        <v>1501.68636</v>
      </c>
      <c r="Q135" s="168">
        <f>Q136</f>
        <v>0</v>
      </c>
      <c r="R135" s="168">
        <f>R136+R137</f>
        <v>1019.4</v>
      </c>
      <c r="S135" s="168">
        <f>S136</f>
        <v>0</v>
      </c>
      <c r="T135" s="142"/>
    </row>
    <row r="136" spans="1:20" ht="34.5" customHeight="1">
      <c r="A136" s="309" t="s">
        <v>316</v>
      </c>
      <c r="B136" s="309"/>
      <c r="C136" s="309"/>
      <c r="D136" s="309"/>
      <c r="E136" s="309"/>
      <c r="F136" s="309"/>
      <c r="G136" s="309"/>
      <c r="H136" s="309"/>
      <c r="I136" s="167">
        <v>653</v>
      </c>
      <c r="J136" s="166">
        <v>8</v>
      </c>
      <c r="K136" s="166">
        <v>1</v>
      </c>
      <c r="L136" s="192" t="s">
        <v>403</v>
      </c>
      <c r="M136" s="167">
        <v>242</v>
      </c>
      <c r="N136" s="168">
        <v>46.44</v>
      </c>
      <c r="O136" s="168">
        <v>0</v>
      </c>
      <c r="P136" s="168">
        <v>83.96</v>
      </c>
      <c r="Q136" s="168">
        <v>0</v>
      </c>
      <c r="R136" s="168">
        <v>46.4</v>
      </c>
      <c r="S136" s="168">
        <v>0</v>
      </c>
      <c r="T136" s="142"/>
    </row>
    <row r="137" spans="1:20" ht="30" customHeight="1">
      <c r="A137" s="309" t="s">
        <v>203</v>
      </c>
      <c r="B137" s="309"/>
      <c r="C137" s="309"/>
      <c r="D137" s="309"/>
      <c r="E137" s="309"/>
      <c r="F137" s="309"/>
      <c r="G137" s="309"/>
      <c r="H137" s="309"/>
      <c r="I137" s="167">
        <v>653</v>
      </c>
      <c r="J137" s="166">
        <v>8</v>
      </c>
      <c r="K137" s="166">
        <v>1</v>
      </c>
      <c r="L137" s="192" t="s">
        <v>403</v>
      </c>
      <c r="M137" s="167">
        <v>244</v>
      </c>
      <c r="N137" s="168">
        <v>1026.82636</v>
      </c>
      <c r="O137" s="168">
        <v>0</v>
      </c>
      <c r="P137" s="168">
        <f>1165.50535-192.47899+500-55.3</f>
        <v>1417.7263599999999</v>
      </c>
      <c r="Q137" s="168">
        <v>0</v>
      </c>
      <c r="R137" s="168">
        <v>973</v>
      </c>
      <c r="S137" s="168">
        <v>0</v>
      </c>
      <c r="T137" s="142"/>
    </row>
    <row r="138" spans="1:20" ht="16.5" customHeight="1">
      <c r="A138" s="321" t="s">
        <v>207</v>
      </c>
      <c r="B138" s="307"/>
      <c r="C138" s="307"/>
      <c r="D138" s="308"/>
      <c r="E138" s="198"/>
      <c r="F138" s="198"/>
      <c r="G138" s="198"/>
      <c r="H138" s="198"/>
      <c r="I138" s="167">
        <v>653</v>
      </c>
      <c r="J138" s="166">
        <v>8</v>
      </c>
      <c r="K138" s="166">
        <v>1</v>
      </c>
      <c r="L138" s="192" t="s">
        <v>403</v>
      </c>
      <c r="M138" s="167">
        <v>850</v>
      </c>
      <c r="N138" s="168">
        <v>15</v>
      </c>
      <c r="O138" s="168">
        <v>0</v>
      </c>
      <c r="P138" s="168"/>
      <c r="Q138" s="168"/>
      <c r="R138" s="168"/>
      <c r="S138" s="168"/>
      <c r="T138" s="142"/>
    </row>
    <row r="139" spans="1:20" ht="18.75" customHeight="1">
      <c r="A139" s="321" t="s">
        <v>448</v>
      </c>
      <c r="B139" s="307"/>
      <c r="C139" s="307"/>
      <c r="D139" s="308"/>
      <c r="E139" s="198"/>
      <c r="F139" s="198"/>
      <c r="G139" s="198"/>
      <c r="H139" s="198"/>
      <c r="I139" s="167">
        <v>653</v>
      </c>
      <c r="J139" s="166">
        <v>8</v>
      </c>
      <c r="K139" s="166">
        <v>1</v>
      </c>
      <c r="L139" s="192" t="s">
        <v>403</v>
      </c>
      <c r="M139" s="167">
        <v>852</v>
      </c>
      <c r="N139" s="168">
        <v>15</v>
      </c>
      <c r="O139" s="168">
        <v>0</v>
      </c>
      <c r="P139" s="168"/>
      <c r="Q139" s="168"/>
      <c r="R139" s="168"/>
      <c r="S139" s="168"/>
      <c r="T139" s="142"/>
    </row>
    <row r="140" spans="1:20" ht="19.5" customHeight="1">
      <c r="A140" s="303" t="s">
        <v>285</v>
      </c>
      <c r="B140" s="303"/>
      <c r="C140" s="303"/>
      <c r="D140" s="303"/>
      <c r="E140" s="303"/>
      <c r="F140" s="303"/>
      <c r="G140" s="303"/>
      <c r="H140" s="303"/>
      <c r="I140" s="167">
        <v>653</v>
      </c>
      <c r="J140" s="270">
        <v>8</v>
      </c>
      <c r="K140" s="270">
        <v>2</v>
      </c>
      <c r="L140" s="272" t="s">
        <v>402</v>
      </c>
      <c r="M140" s="179">
        <v>0</v>
      </c>
      <c r="N140" s="234">
        <v>443.6</v>
      </c>
      <c r="O140" s="234">
        <f>O142</f>
        <v>0</v>
      </c>
      <c r="P140" s="234">
        <f>P142</f>
        <v>443.55564</v>
      </c>
      <c r="Q140" s="234">
        <f>Q142</f>
        <v>0</v>
      </c>
      <c r="R140" s="234">
        <f>R142</f>
        <v>482.911204</v>
      </c>
      <c r="S140" s="234">
        <f>S142</f>
        <v>0</v>
      </c>
      <c r="T140" s="142"/>
    </row>
    <row r="141" spans="1:21" ht="37.5" customHeight="1">
      <c r="A141" s="304" t="s">
        <v>218</v>
      </c>
      <c r="B141" s="304"/>
      <c r="C141" s="304"/>
      <c r="D141" s="304"/>
      <c r="E141" s="178"/>
      <c r="F141" s="178"/>
      <c r="G141" s="178"/>
      <c r="H141" s="178"/>
      <c r="I141" s="179">
        <v>653</v>
      </c>
      <c r="J141" s="270">
        <v>8</v>
      </c>
      <c r="K141" s="270">
        <v>2</v>
      </c>
      <c r="L141" s="272" t="s">
        <v>403</v>
      </c>
      <c r="M141" s="179">
        <v>0</v>
      </c>
      <c r="N141" s="234">
        <f aca="true" t="shared" si="38" ref="N141:S141">N142</f>
        <v>390.7</v>
      </c>
      <c r="O141" s="234">
        <f t="shared" si="38"/>
        <v>0</v>
      </c>
      <c r="P141" s="234">
        <f t="shared" si="38"/>
        <v>443.55564</v>
      </c>
      <c r="Q141" s="234">
        <f t="shared" si="38"/>
        <v>0</v>
      </c>
      <c r="R141" s="234">
        <f t="shared" si="38"/>
        <v>482.911204</v>
      </c>
      <c r="S141" s="234">
        <f t="shared" si="38"/>
        <v>0</v>
      </c>
      <c r="T141" s="142"/>
      <c r="U141" s="7"/>
    </row>
    <row r="142" spans="1:20" ht="37.5" customHeight="1">
      <c r="A142" s="309" t="s">
        <v>219</v>
      </c>
      <c r="B142" s="309"/>
      <c r="C142" s="309"/>
      <c r="D142" s="309"/>
      <c r="E142" s="309"/>
      <c r="F142" s="309"/>
      <c r="G142" s="309"/>
      <c r="H142" s="309"/>
      <c r="I142" s="167">
        <v>653</v>
      </c>
      <c r="J142" s="166">
        <v>8</v>
      </c>
      <c r="K142" s="166">
        <v>2</v>
      </c>
      <c r="L142" s="192" t="s">
        <v>403</v>
      </c>
      <c r="M142" s="167">
        <v>0</v>
      </c>
      <c r="N142" s="168">
        <f>N145+N146</f>
        <v>390.7</v>
      </c>
      <c r="O142" s="168">
        <v>0</v>
      </c>
      <c r="P142" s="168">
        <f>P145+P146</f>
        <v>443.55564</v>
      </c>
      <c r="Q142" s="168">
        <f>Q145</f>
        <v>0</v>
      </c>
      <c r="R142" s="168">
        <f>R145+R146</f>
        <v>482.911204</v>
      </c>
      <c r="S142" s="168">
        <f>S145</f>
        <v>0</v>
      </c>
      <c r="T142" s="142"/>
    </row>
    <row r="143" spans="1:21" s="8" customFormat="1" ht="24" customHeight="1">
      <c r="A143" s="309" t="s">
        <v>210</v>
      </c>
      <c r="B143" s="309"/>
      <c r="C143" s="309"/>
      <c r="D143" s="309"/>
      <c r="E143" s="309"/>
      <c r="F143" s="309"/>
      <c r="G143" s="309"/>
      <c r="H143" s="309"/>
      <c r="I143" s="167">
        <v>653</v>
      </c>
      <c r="J143" s="166">
        <v>8</v>
      </c>
      <c r="K143" s="166">
        <v>2</v>
      </c>
      <c r="L143" s="192" t="s">
        <v>403</v>
      </c>
      <c r="M143" s="167">
        <v>100</v>
      </c>
      <c r="N143" s="168">
        <v>443.6</v>
      </c>
      <c r="O143" s="168">
        <f>O145</f>
        <v>0</v>
      </c>
      <c r="P143" s="168">
        <f>P145</f>
        <v>393.55564</v>
      </c>
      <c r="Q143" s="168">
        <f>Q145</f>
        <v>0</v>
      </c>
      <c r="R143" s="168">
        <f>R145</f>
        <v>432.911204</v>
      </c>
      <c r="S143" s="168">
        <f>S145</f>
        <v>0</v>
      </c>
      <c r="T143" s="142"/>
      <c r="U143" s="145"/>
    </row>
    <row r="144" spans="1:21" s="8" customFormat="1" ht="21" customHeight="1">
      <c r="A144" s="309" t="s">
        <v>210</v>
      </c>
      <c r="B144" s="309"/>
      <c r="C144" s="309"/>
      <c r="D144" s="309"/>
      <c r="E144" s="309"/>
      <c r="F144" s="309"/>
      <c r="G144" s="309"/>
      <c r="H144" s="309"/>
      <c r="I144" s="167">
        <v>653</v>
      </c>
      <c r="J144" s="166">
        <v>8</v>
      </c>
      <c r="K144" s="166">
        <v>2</v>
      </c>
      <c r="L144" s="192" t="s">
        <v>403</v>
      </c>
      <c r="M144" s="167">
        <v>110</v>
      </c>
      <c r="N144" s="168">
        <f aca="true" t="shared" si="39" ref="N144:S144">SUM(N145+N146)</f>
        <v>390.7</v>
      </c>
      <c r="O144" s="168">
        <f t="shared" si="39"/>
        <v>0</v>
      </c>
      <c r="P144" s="168">
        <f t="shared" si="39"/>
        <v>443.55564</v>
      </c>
      <c r="Q144" s="168">
        <f t="shared" si="39"/>
        <v>0</v>
      </c>
      <c r="R144" s="168">
        <f t="shared" si="39"/>
        <v>482.911204</v>
      </c>
      <c r="S144" s="168">
        <f t="shared" si="39"/>
        <v>0</v>
      </c>
      <c r="T144" s="142"/>
      <c r="U144" s="145"/>
    </row>
    <row r="145" spans="1:20" ht="24.75" customHeight="1">
      <c r="A145" s="309" t="s">
        <v>394</v>
      </c>
      <c r="B145" s="309"/>
      <c r="C145" s="309"/>
      <c r="D145" s="309"/>
      <c r="E145" s="309"/>
      <c r="F145" s="309"/>
      <c r="G145" s="309"/>
      <c r="H145" s="309"/>
      <c r="I145" s="167">
        <v>653</v>
      </c>
      <c r="J145" s="166">
        <v>8</v>
      </c>
      <c r="K145" s="166">
        <v>2</v>
      </c>
      <c r="L145" s="192" t="s">
        <v>403</v>
      </c>
      <c r="M145" s="167">
        <v>111</v>
      </c>
      <c r="N145" s="168">
        <v>340.7</v>
      </c>
      <c r="O145" s="168">
        <v>0</v>
      </c>
      <c r="P145" s="168">
        <v>393.55564</v>
      </c>
      <c r="Q145" s="168">
        <v>0</v>
      </c>
      <c r="R145" s="168">
        <f>393.55564*1.1</f>
        <v>432.911204</v>
      </c>
      <c r="S145" s="168">
        <v>0</v>
      </c>
      <c r="T145" s="142"/>
    </row>
    <row r="146" spans="1:20" ht="24" customHeight="1">
      <c r="A146" s="309" t="s">
        <v>211</v>
      </c>
      <c r="B146" s="309"/>
      <c r="C146" s="309"/>
      <c r="D146" s="309"/>
      <c r="E146" s="309"/>
      <c r="F146" s="309"/>
      <c r="G146" s="309"/>
      <c r="H146" s="309"/>
      <c r="I146" s="167">
        <v>653</v>
      </c>
      <c r="J146" s="166">
        <v>8</v>
      </c>
      <c r="K146" s="166">
        <v>2</v>
      </c>
      <c r="L146" s="192" t="s">
        <v>403</v>
      </c>
      <c r="M146" s="167">
        <v>112</v>
      </c>
      <c r="N146" s="168">
        <v>50</v>
      </c>
      <c r="O146" s="168">
        <v>0</v>
      </c>
      <c r="P146" s="168">
        <v>50</v>
      </c>
      <c r="Q146" s="168">
        <v>0</v>
      </c>
      <c r="R146" s="168">
        <v>50</v>
      </c>
      <c r="S146" s="168">
        <v>0</v>
      </c>
      <c r="T146" s="142"/>
    </row>
    <row r="147" spans="1:20" ht="38.25" customHeight="1">
      <c r="A147" s="306" t="s">
        <v>447</v>
      </c>
      <c r="B147" s="307"/>
      <c r="C147" s="307"/>
      <c r="D147" s="308"/>
      <c r="E147" s="198"/>
      <c r="F147" s="198"/>
      <c r="G147" s="198"/>
      <c r="H147" s="198"/>
      <c r="I147" s="167">
        <v>653</v>
      </c>
      <c r="J147" s="166">
        <v>8</v>
      </c>
      <c r="K147" s="166">
        <v>2</v>
      </c>
      <c r="L147" s="192" t="s">
        <v>403</v>
      </c>
      <c r="M147" s="167">
        <v>119</v>
      </c>
      <c r="N147" s="168">
        <v>52.9</v>
      </c>
      <c r="O147" s="168">
        <v>0</v>
      </c>
      <c r="P147" s="168"/>
      <c r="Q147" s="168"/>
      <c r="R147" s="168"/>
      <c r="S147" s="168"/>
      <c r="T147" s="142"/>
    </row>
    <row r="148" spans="1:20" ht="19.5" customHeight="1">
      <c r="A148" s="303" t="s">
        <v>132</v>
      </c>
      <c r="B148" s="303"/>
      <c r="C148" s="303"/>
      <c r="D148" s="303"/>
      <c r="E148" s="303"/>
      <c r="F148" s="303"/>
      <c r="G148" s="303"/>
      <c r="H148" s="303"/>
      <c r="I148" s="179">
        <v>653</v>
      </c>
      <c r="J148" s="270">
        <v>10</v>
      </c>
      <c r="K148" s="270">
        <v>0</v>
      </c>
      <c r="L148" s="272" t="s">
        <v>386</v>
      </c>
      <c r="M148" s="179">
        <v>0</v>
      </c>
      <c r="N148" s="234">
        <f aca="true" t="shared" si="40" ref="N148:S148">N149</f>
        <v>60</v>
      </c>
      <c r="O148" s="234">
        <f t="shared" si="40"/>
        <v>0</v>
      </c>
      <c r="P148" s="234">
        <f t="shared" si="40"/>
        <v>60</v>
      </c>
      <c r="Q148" s="234">
        <f t="shared" si="40"/>
        <v>0</v>
      </c>
      <c r="R148" s="234">
        <f t="shared" si="40"/>
        <v>60</v>
      </c>
      <c r="S148" s="234">
        <f t="shared" si="40"/>
        <v>0</v>
      </c>
      <c r="T148" s="142"/>
    </row>
    <row r="149" spans="1:20" ht="19.5" customHeight="1">
      <c r="A149" s="303" t="s">
        <v>133</v>
      </c>
      <c r="B149" s="303"/>
      <c r="C149" s="303"/>
      <c r="D149" s="303"/>
      <c r="E149" s="303"/>
      <c r="F149" s="303"/>
      <c r="G149" s="303"/>
      <c r="H149" s="303"/>
      <c r="I149" s="179">
        <v>653</v>
      </c>
      <c r="J149" s="270">
        <v>10</v>
      </c>
      <c r="K149" s="270">
        <v>1</v>
      </c>
      <c r="L149" s="272" t="s">
        <v>386</v>
      </c>
      <c r="M149" s="179">
        <v>0</v>
      </c>
      <c r="N149" s="234">
        <f aca="true" t="shared" si="41" ref="N149:S149">N153</f>
        <v>60</v>
      </c>
      <c r="O149" s="234">
        <f t="shared" si="41"/>
        <v>0</v>
      </c>
      <c r="P149" s="234">
        <f t="shared" si="41"/>
        <v>60</v>
      </c>
      <c r="Q149" s="234">
        <f t="shared" si="41"/>
        <v>0</v>
      </c>
      <c r="R149" s="234">
        <f t="shared" si="41"/>
        <v>60</v>
      </c>
      <c r="S149" s="234">
        <f t="shared" si="41"/>
        <v>0</v>
      </c>
      <c r="T149" s="142"/>
    </row>
    <row r="150" spans="1:21" ht="48.75" customHeight="1">
      <c r="A150" s="311" t="s">
        <v>197</v>
      </c>
      <c r="B150" s="312"/>
      <c r="C150" s="312"/>
      <c r="D150" s="313"/>
      <c r="E150" s="178"/>
      <c r="F150" s="178"/>
      <c r="G150" s="178"/>
      <c r="H150" s="178"/>
      <c r="I150" s="179">
        <v>653</v>
      </c>
      <c r="J150" s="270">
        <v>10</v>
      </c>
      <c r="K150" s="270">
        <v>1</v>
      </c>
      <c r="L150" s="272" t="s">
        <v>386</v>
      </c>
      <c r="M150" s="179">
        <v>0</v>
      </c>
      <c r="N150" s="234">
        <f aca="true" t="shared" si="42" ref="N150:S152">N151</f>
        <v>60</v>
      </c>
      <c r="O150" s="234">
        <f t="shared" si="42"/>
        <v>0</v>
      </c>
      <c r="P150" s="234">
        <f t="shared" si="42"/>
        <v>60</v>
      </c>
      <c r="Q150" s="234">
        <f t="shared" si="42"/>
        <v>0</v>
      </c>
      <c r="R150" s="234">
        <f t="shared" si="42"/>
        <v>60</v>
      </c>
      <c r="S150" s="234">
        <f t="shared" si="42"/>
        <v>0</v>
      </c>
      <c r="T150" s="142"/>
      <c r="U150" s="2"/>
    </row>
    <row r="151" spans="1:20" ht="50.25" customHeight="1">
      <c r="A151" s="309" t="s">
        <v>220</v>
      </c>
      <c r="B151" s="309"/>
      <c r="C151" s="309"/>
      <c r="D151" s="309"/>
      <c r="E151" s="309"/>
      <c r="F151" s="309"/>
      <c r="G151" s="309"/>
      <c r="H151" s="309"/>
      <c r="I151" s="167">
        <v>653</v>
      </c>
      <c r="J151" s="166">
        <v>10</v>
      </c>
      <c r="K151" s="166">
        <v>1</v>
      </c>
      <c r="L151" s="192" t="s">
        <v>389</v>
      </c>
      <c r="M151" s="167">
        <v>0</v>
      </c>
      <c r="N151" s="168">
        <f>N152</f>
        <v>60</v>
      </c>
      <c r="O151" s="168">
        <f t="shared" si="42"/>
        <v>0</v>
      </c>
      <c r="P151" s="168">
        <f t="shared" si="42"/>
        <v>60</v>
      </c>
      <c r="Q151" s="168">
        <f t="shared" si="42"/>
        <v>0</v>
      </c>
      <c r="R151" s="168">
        <f t="shared" si="42"/>
        <v>60</v>
      </c>
      <c r="S151" s="168">
        <f t="shared" si="42"/>
        <v>0</v>
      </c>
      <c r="T151" s="142"/>
    </row>
    <row r="152" spans="1:21" ht="20.25" customHeight="1">
      <c r="A152" s="309" t="s">
        <v>221</v>
      </c>
      <c r="B152" s="309" t="s">
        <v>221</v>
      </c>
      <c r="C152" s="309"/>
      <c r="D152" s="309"/>
      <c r="E152" s="309"/>
      <c r="F152" s="309"/>
      <c r="G152" s="309"/>
      <c r="H152" s="309"/>
      <c r="I152" s="179">
        <v>653</v>
      </c>
      <c r="J152" s="166">
        <v>10</v>
      </c>
      <c r="K152" s="166">
        <v>1</v>
      </c>
      <c r="L152" s="192" t="s">
        <v>389</v>
      </c>
      <c r="M152" s="167">
        <v>300</v>
      </c>
      <c r="N152" s="234">
        <f>N153</f>
        <v>60</v>
      </c>
      <c r="O152" s="234">
        <f t="shared" si="42"/>
        <v>0</v>
      </c>
      <c r="P152" s="234">
        <f t="shared" si="42"/>
        <v>60</v>
      </c>
      <c r="Q152" s="234">
        <f t="shared" si="42"/>
        <v>0</v>
      </c>
      <c r="R152" s="234">
        <f t="shared" si="42"/>
        <v>60</v>
      </c>
      <c r="S152" s="234">
        <f t="shared" si="42"/>
        <v>0</v>
      </c>
      <c r="T152" s="142"/>
      <c r="U152" s="2"/>
    </row>
    <row r="153" spans="1:20" ht="39.75" customHeight="1">
      <c r="A153" s="309" t="s">
        <v>222</v>
      </c>
      <c r="B153" s="309"/>
      <c r="C153" s="309"/>
      <c r="D153" s="309"/>
      <c r="E153" s="309"/>
      <c r="F153" s="309"/>
      <c r="G153" s="309"/>
      <c r="H153" s="309"/>
      <c r="I153" s="167">
        <v>653</v>
      </c>
      <c r="J153" s="166">
        <v>10</v>
      </c>
      <c r="K153" s="166">
        <v>1</v>
      </c>
      <c r="L153" s="192" t="s">
        <v>389</v>
      </c>
      <c r="M153" s="167">
        <v>321</v>
      </c>
      <c r="N153" s="168">
        <v>60</v>
      </c>
      <c r="O153" s="168">
        <v>0</v>
      </c>
      <c r="P153" s="168">
        <v>60</v>
      </c>
      <c r="Q153" s="168">
        <v>0</v>
      </c>
      <c r="R153" s="239">
        <v>60</v>
      </c>
      <c r="S153" s="168">
        <v>0</v>
      </c>
      <c r="T153" s="142"/>
    </row>
    <row r="154" spans="1:20" ht="19.5" customHeight="1">
      <c r="A154" s="303" t="s">
        <v>284</v>
      </c>
      <c r="B154" s="303"/>
      <c r="C154" s="303"/>
      <c r="D154" s="303"/>
      <c r="E154" s="303"/>
      <c r="F154" s="303"/>
      <c r="G154" s="303"/>
      <c r="H154" s="303"/>
      <c r="I154" s="179">
        <v>653</v>
      </c>
      <c r="J154" s="270">
        <v>11</v>
      </c>
      <c r="K154" s="270">
        <v>0</v>
      </c>
      <c r="L154" s="272" t="s">
        <v>404</v>
      </c>
      <c r="M154" s="179">
        <v>0</v>
      </c>
      <c r="N154" s="234">
        <f aca="true" t="shared" si="43" ref="N154:S154">N155</f>
        <v>2243.9440000000004</v>
      </c>
      <c r="O154" s="234">
        <f t="shared" si="43"/>
        <v>0</v>
      </c>
      <c r="P154" s="234">
        <f t="shared" si="43"/>
        <v>2698.56122</v>
      </c>
      <c r="Q154" s="234">
        <f t="shared" si="43"/>
        <v>0</v>
      </c>
      <c r="R154" s="234">
        <f t="shared" si="43"/>
        <v>2756.595287</v>
      </c>
      <c r="S154" s="234">
        <f t="shared" si="43"/>
        <v>0</v>
      </c>
      <c r="T154" s="142"/>
    </row>
    <row r="155" spans="1:20" ht="19.5" customHeight="1">
      <c r="A155" s="303" t="s">
        <v>283</v>
      </c>
      <c r="B155" s="303"/>
      <c r="C155" s="303"/>
      <c r="D155" s="303"/>
      <c r="E155" s="303"/>
      <c r="F155" s="303"/>
      <c r="G155" s="303"/>
      <c r="H155" s="303"/>
      <c r="I155" s="179">
        <v>653</v>
      </c>
      <c r="J155" s="270">
        <v>11</v>
      </c>
      <c r="K155" s="270">
        <v>1</v>
      </c>
      <c r="L155" s="272" t="s">
        <v>404</v>
      </c>
      <c r="M155" s="179">
        <v>0</v>
      </c>
      <c r="N155" s="234">
        <f aca="true" t="shared" si="44" ref="N155:S155">N160+N161+N165</f>
        <v>2243.9440000000004</v>
      </c>
      <c r="O155" s="234">
        <f t="shared" si="44"/>
        <v>0</v>
      </c>
      <c r="P155" s="234">
        <f t="shared" si="44"/>
        <v>2698.56122</v>
      </c>
      <c r="Q155" s="234">
        <f t="shared" si="44"/>
        <v>0</v>
      </c>
      <c r="R155" s="234">
        <f t="shared" si="44"/>
        <v>2756.595287</v>
      </c>
      <c r="S155" s="234">
        <f t="shared" si="44"/>
        <v>0</v>
      </c>
      <c r="T155" s="142"/>
    </row>
    <row r="156" spans="1:21" ht="45.75" customHeight="1">
      <c r="A156" s="304" t="s">
        <v>223</v>
      </c>
      <c r="B156" s="304"/>
      <c r="C156" s="304"/>
      <c r="D156" s="304"/>
      <c r="E156" s="178"/>
      <c r="F156" s="178"/>
      <c r="G156" s="178"/>
      <c r="H156" s="178"/>
      <c r="I156" s="179">
        <v>653</v>
      </c>
      <c r="J156" s="270">
        <v>11</v>
      </c>
      <c r="K156" s="270">
        <v>1</v>
      </c>
      <c r="L156" s="272" t="s">
        <v>404</v>
      </c>
      <c r="M156" s="179">
        <v>0</v>
      </c>
      <c r="N156" s="234">
        <f aca="true" t="shared" si="45" ref="N156:S156">N158+N163</f>
        <v>2588.844</v>
      </c>
      <c r="O156" s="234">
        <f t="shared" si="45"/>
        <v>0</v>
      </c>
      <c r="P156" s="234">
        <f t="shared" si="45"/>
        <v>2698.56122</v>
      </c>
      <c r="Q156" s="234">
        <f t="shared" si="45"/>
        <v>0</v>
      </c>
      <c r="R156" s="234">
        <f t="shared" si="45"/>
        <v>2756.595287</v>
      </c>
      <c r="S156" s="234">
        <f t="shared" si="45"/>
        <v>0</v>
      </c>
      <c r="T156" s="142"/>
      <c r="U156" s="7"/>
    </row>
    <row r="157" spans="1:20" ht="37.5" customHeight="1">
      <c r="A157" s="309" t="s">
        <v>224</v>
      </c>
      <c r="B157" s="309"/>
      <c r="C157" s="309"/>
      <c r="D157" s="309"/>
      <c r="E157" s="309"/>
      <c r="F157" s="309"/>
      <c r="G157" s="309"/>
      <c r="H157" s="309"/>
      <c r="I157" s="167">
        <v>653</v>
      </c>
      <c r="J157" s="166">
        <v>11</v>
      </c>
      <c r="K157" s="166">
        <v>1</v>
      </c>
      <c r="L157" s="192" t="s">
        <v>405</v>
      </c>
      <c r="M157" s="167">
        <v>0</v>
      </c>
      <c r="N157" s="168">
        <f aca="true" t="shared" si="46" ref="N157:S157">N158+N163</f>
        <v>2588.844</v>
      </c>
      <c r="O157" s="168">
        <f t="shared" si="46"/>
        <v>0</v>
      </c>
      <c r="P157" s="168">
        <f t="shared" si="46"/>
        <v>2698.56122</v>
      </c>
      <c r="Q157" s="168">
        <f t="shared" si="46"/>
        <v>0</v>
      </c>
      <c r="R157" s="168">
        <f t="shared" si="46"/>
        <v>2756.595287</v>
      </c>
      <c r="S157" s="168">
        <f t="shared" si="46"/>
        <v>0</v>
      </c>
      <c r="T157" s="142"/>
    </row>
    <row r="158" spans="1:21" s="8" customFormat="1" ht="26.25" customHeight="1">
      <c r="A158" s="309" t="s">
        <v>210</v>
      </c>
      <c r="B158" s="309"/>
      <c r="C158" s="309"/>
      <c r="D158" s="309"/>
      <c r="E158" s="309"/>
      <c r="F158" s="309"/>
      <c r="G158" s="309"/>
      <c r="H158" s="309"/>
      <c r="I158" s="167">
        <v>653</v>
      </c>
      <c r="J158" s="166">
        <v>11</v>
      </c>
      <c r="K158" s="166">
        <v>1</v>
      </c>
      <c r="L158" s="192" t="s">
        <v>405</v>
      </c>
      <c r="M158" s="167">
        <v>100</v>
      </c>
      <c r="N158" s="168">
        <f aca="true" t="shared" si="47" ref="N158:S158">N159</f>
        <v>1636.6</v>
      </c>
      <c r="O158" s="168">
        <f t="shared" si="47"/>
        <v>0</v>
      </c>
      <c r="P158" s="168">
        <f t="shared" si="47"/>
        <v>1586.54117</v>
      </c>
      <c r="Q158" s="168">
        <f t="shared" si="47"/>
        <v>0</v>
      </c>
      <c r="R158" s="168">
        <f t="shared" si="47"/>
        <v>1735.195287</v>
      </c>
      <c r="S158" s="168">
        <f t="shared" si="47"/>
        <v>0</v>
      </c>
      <c r="T158" s="142"/>
      <c r="U158" s="145"/>
    </row>
    <row r="159" spans="1:21" s="8" customFormat="1" ht="21" customHeight="1">
      <c r="A159" s="309" t="s">
        <v>210</v>
      </c>
      <c r="B159" s="309"/>
      <c r="C159" s="309"/>
      <c r="D159" s="309"/>
      <c r="E159" s="309"/>
      <c r="F159" s="309"/>
      <c r="G159" s="309"/>
      <c r="H159" s="309"/>
      <c r="I159" s="167">
        <v>653</v>
      </c>
      <c r="J159" s="166">
        <v>11</v>
      </c>
      <c r="K159" s="166">
        <v>1</v>
      </c>
      <c r="L159" s="192" t="s">
        <v>405</v>
      </c>
      <c r="M159" s="167">
        <v>110</v>
      </c>
      <c r="N159" s="168">
        <v>1636.6</v>
      </c>
      <c r="O159" s="168">
        <f>SUM(O160+O161)</f>
        <v>0</v>
      </c>
      <c r="P159" s="168">
        <f>SUM(P160+P161)</f>
        <v>1586.54117</v>
      </c>
      <c r="Q159" s="168">
        <f>SUM(Q160+Q161)</f>
        <v>0</v>
      </c>
      <c r="R159" s="168">
        <f>SUM(R160+R161)</f>
        <v>1735.195287</v>
      </c>
      <c r="S159" s="168">
        <f>SUM(S160+S161)</f>
        <v>0</v>
      </c>
      <c r="T159" s="142"/>
      <c r="U159" s="145"/>
    </row>
    <row r="160" spans="1:20" ht="19.5" customHeight="1">
      <c r="A160" s="309" t="s">
        <v>313</v>
      </c>
      <c r="B160" s="309"/>
      <c r="C160" s="309"/>
      <c r="D160" s="309"/>
      <c r="E160" s="309"/>
      <c r="F160" s="309"/>
      <c r="G160" s="309"/>
      <c r="H160" s="309"/>
      <c r="I160" s="167">
        <v>653</v>
      </c>
      <c r="J160" s="166">
        <v>11</v>
      </c>
      <c r="K160" s="166">
        <v>1</v>
      </c>
      <c r="L160" s="192" t="s">
        <v>405</v>
      </c>
      <c r="M160" s="167">
        <v>111</v>
      </c>
      <c r="N160" s="168">
        <v>1141.7</v>
      </c>
      <c r="O160" s="168">
        <v>0</v>
      </c>
      <c r="P160" s="168">
        <v>1486.54117</v>
      </c>
      <c r="Q160" s="168">
        <v>0</v>
      </c>
      <c r="R160" s="168">
        <f>1486.54117*1.1</f>
        <v>1635.195287</v>
      </c>
      <c r="S160" s="168">
        <v>0</v>
      </c>
      <c r="T160" s="142"/>
    </row>
    <row r="161" spans="1:20" ht="29.25" customHeight="1">
      <c r="A161" s="309" t="s">
        <v>317</v>
      </c>
      <c r="B161" s="309"/>
      <c r="C161" s="309"/>
      <c r="D161" s="309"/>
      <c r="E161" s="309"/>
      <c r="F161" s="309"/>
      <c r="G161" s="309"/>
      <c r="H161" s="309"/>
      <c r="I161" s="167">
        <v>653</v>
      </c>
      <c r="J161" s="166">
        <v>11</v>
      </c>
      <c r="K161" s="166">
        <v>1</v>
      </c>
      <c r="L161" s="192" t="s">
        <v>405</v>
      </c>
      <c r="M161" s="167">
        <v>112</v>
      </c>
      <c r="N161" s="168">
        <v>150</v>
      </c>
      <c r="O161" s="168">
        <v>0</v>
      </c>
      <c r="P161" s="168">
        <v>100</v>
      </c>
      <c r="Q161" s="168">
        <v>0</v>
      </c>
      <c r="R161" s="168">
        <v>100</v>
      </c>
      <c r="S161" s="168">
        <v>0</v>
      </c>
      <c r="T161" s="142"/>
    </row>
    <row r="162" spans="1:20" ht="38.25" customHeight="1">
      <c r="A162" s="306" t="s">
        <v>447</v>
      </c>
      <c r="B162" s="307"/>
      <c r="C162" s="307"/>
      <c r="D162" s="308"/>
      <c r="E162" s="198"/>
      <c r="F162" s="198"/>
      <c r="G162" s="198"/>
      <c r="H162" s="198"/>
      <c r="I162" s="167">
        <v>653</v>
      </c>
      <c r="J162" s="166">
        <v>11</v>
      </c>
      <c r="K162" s="166">
        <v>1</v>
      </c>
      <c r="L162" s="192" t="s">
        <v>405</v>
      </c>
      <c r="M162" s="167">
        <v>119</v>
      </c>
      <c r="N162" s="168">
        <v>344.9</v>
      </c>
      <c r="O162" s="168">
        <v>0</v>
      </c>
      <c r="P162" s="168"/>
      <c r="Q162" s="168"/>
      <c r="R162" s="168"/>
      <c r="S162" s="168"/>
      <c r="T162" s="142"/>
    </row>
    <row r="163" spans="1:20" ht="29.25" customHeight="1">
      <c r="A163" s="309" t="s">
        <v>205</v>
      </c>
      <c r="B163" s="309"/>
      <c r="C163" s="309"/>
      <c r="D163" s="309"/>
      <c r="E163" s="309"/>
      <c r="F163" s="309"/>
      <c r="G163" s="309"/>
      <c r="H163" s="309"/>
      <c r="I163" s="167">
        <v>653</v>
      </c>
      <c r="J163" s="166">
        <v>11</v>
      </c>
      <c r="K163" s="166">
        <v>1</v>
      </c>
      <c r="L163" s="192" t="s">
        <v>405</v>
      </c>
      <c r="M163" s="167">
        <v>200</v>
      </c>
      <c r="N163" s="168">
        <f aca="true" t="shared" si="48" ref="N163:S164">N164</f>
        <v>952.2440000000001</v>
      </c>
      <c r="O163" s="168">
        <f>O164</f>
        <v>0</v>
      </c>
      <c r="P163" s="168">
        <f>P164</f>
        <v>1112.02005</v>
      </c>
      <c r="Q163" s="168">
        <f>Q164</f>
        <v>0</v>
      </c>
      <c r="R163" s="168">
        <f>R164</f>
        <v>1021.4000000000001</v>
      </c>
      <c r="S163" s="168">
        <f>S164</f>
        <v>0</v>
      </c>
      <c r="T163" s="142"/>
    </row>
    <row r="164" spans="1:20" ht="29.25" customHeight="1">
      <c r="A164" s="309" t="s">
        <v>202</v>
      </c>
      <c r="B164" s="309"/>
      <c r="C164" s="309"/>
      <c r="D164" s="309"/>
      <c r="E164" s="309"/>
      <c r="F164" s="309"/>
      <c r="G164" s="309"/>
      <c r="H164" s="309"/>
      <c r="I164" s="167">
        <v>653</v>
      </c>
      <c r="J164" s="166">
        <v>11</v>
      </c>
      <c r="K164" s="166">
        <v>1</v>
      </c>
      <c r="L164" s="192" t="s">
        <v>405</v>
      </c>
      <c r="M164" s="167">
        <v>240</v>
      </c>
      <c r="N164" s="168">
        <f t="shared" si="48"/>
        <v>952.2440000000001</v>
      </c>
      <c r="O164" s="168">
        <f t="shared" si="48"/>
        <v>0</v>
      </c>
      <c r="P164" s="168">
        <f t="shared" si="48"/>
        <v>1112.02005</v>
      </c>
      <c r="Q164" s="168">
        <f t="shared" si="48"/>
        <v>0</v>
      </c>
      <c r="R164" s="168">
        <f t="shared" si="48"/>
        <v>1021.4000000000001</v>
      </c>
      <c r="S164" s="168">
        <f t="shared" si="48"/>
        <v>0</v>
      </c>
      <c r="T164" s="142"/>
    </row>
    <row r="165" spans="1:20" ht="27.75" customHeight="1">
      <c r="A165" s="317" t="s">
        <v>314</v>
      </c>
      <c r="B165" s="317"/>
      <c r="C165" s="317"/>
      <c r="D165" s="317"/>
      <c r="E165" s="317"/>
      <c r="F165" s="242"/>
      <c r="G165" s="242"/>
      <c r="H165" s="242"/>
      <c r="I165" s="167">
        <v>653</v>
      </c>
      <c r="J165" s="166">
        <v>11</v>
      </c>
      <c r="K165" s="166">
        <v>1</v>
      </c>
      <c r="L165" s="192" t="s">
        <v>405</v>
      </c>
      <c r="M165" s="167">
        <v>244</v>
      </c>
      <c r="N165" s="168">
        <f>1072.044-119.8</f>
        <v>952.2440000000001</v>
      </c>
      <c r="O165" s="168">
        <v>0</v>
      </c>
      <c r="P165" s="168">
        <f>1177.82005-55.3-10.5</f>
        <v>1112.02005</v>
      </c>
      <c r="Q165" s="168">
        <v>0</v>
      </c>
      <c r="R165" s="168">
        <f>1072-53.3+2.7</f>
        <v>1021.4000000000001</v>
      </c>
      <c r="S165" s="168">
        <v>0</v>
      </c>
      <c r="T165" s="142"/>
    </row>
  </sheetData>
  <sheetProtection/>
  <autoFilter ref="A1:S165"/>
  <mergeCells count="165">
    <mergeCell ref="A6:S7"/>
    <mergeCell ref="A9:G11"/>
    <mergeCell ref="J9:M9"/>
    <mergeCell ref="N9:N11"/>
    <mergeCell ref="O9:O11"/>
    <mergeCell ref="P9:S9"/>
    <mergeCell ref="J10:M10"/>
    <mergeCell ref="P10:P11"/>
    <mergeCell ref="A25:H25"/>
    <mergeCell ref="A22:D22"/>
    <mergeCell ref="S10:S11"/>
    <mergeCell ref="A12:D12"/>
    <mergeCell ref="A13:H13"/>
    <mergeCell ref="A14:H14"/>
    <mergeCell ref="Q10:Q11"/>
    <mergeCell ref="R10:R11"/>
    <mergeCell ref="A15:H15"/>
    <mergeCell ref="A16:D16"/>
    <mergeCell ref="A34:H34"/>
    <mergeCell ref="A35:E35"/>
    <mergeCell ref="A24:D24"/>
    <mergeCell ref="A26:H26"/>
    <mergeCell ref="A17:H17"/>
    <mergeCell ref="A18:H18"/>
    <mergeCell ref="A20:H20"/>
    <mergeCell ref="A23:H23"/>
    <mergeCell ref="A19:H19"/>
    <mergeCell ref="A21:E21"/>
    <mergeCell ref="A27:H27"/>
    <mergeCell ref="A28:H28"/>
    <mergeCell ref="A29:H29"/>
    <mergeCell ref="A31:H31"/>
    <mergeCell ref="A33:H33"/>
    <mergeCell ref="A30:D30"/>
    <mergeCell ref="A32:H32"/>
    <mergeCell ref="A38:H38"/>
    <mergeCell ref="A37:E37"/>
    <mergeCell ref="A47:H47"/>
    <mergeCell ref="A45:D45"/>
    <mergeCell ref="A39:H39"/>
    <mergeCell ref="A41:H41"/>
    <mergeCell ref="A40:D40"/>
    <mergeCell ref="A42:E42"/>
    <mergeCell ref="A43:H43"/>
    <mergeCell ref="A44:H44"/>
    <mergeCell ref="A46:H46"/>
    <mergeCell ref="A139:D139"/>
    <mergeCell ref="A48:H48"/>
    <mergeCell ref="A51:H51"/>
    <mergeCell ref="A52:H52"/>
    <mergeCell ref="A54:H54"/>
    <mergeCell ref="A49:H49"/>
    <mergeCell ref="A53:H53"/>
    <mergeCell ref="A59:D59"/>
    <mergeCell ref="A57:H57"/>
    <mergeCell ref="A58:H58"/>
    <mergeCell ref="A102:H102"/>
    <mergeCell ref="A103:H103"/>
    <mergeCell ref="A138:D138"/>
    <mergeCell ref="A64:D64"/>
    <mergeCell ref="A71:H71"/>
    <mergeCell ref="A67:D67"/>
    <mergeCell ref="A65:H65"/>
    <mergeCell ref="A66:H66"/>
    <mergeCell ref="A68:H68"/>
    <mergeCell ref="A69:H69"/>
    <mergeCell ref="A70:H70"/>
    <mergeCell ref="A78:D78"/>
    <mergeCell ref="A81:H81"/>
    <mergeCell ref="A72:H72"/>
    <mergeCell ref="A76:H76"/>
    <mergeCell ref="A77:H77"/>
    <mergeCell ref="A73:D73"/>
    <mergeCell ref="A74:H74"/>
    <mergeCell ref="A75:H75"/>
    <mergeCell ref="A84:D84"/>
    <mergeCell ref="A85:H85"/>
    <mergeCell ref="A89:H89"/>
    <mergeCell ref="A79:H79"/>
    <mergeCell ref="A80:H80"/>
    <mergeCell ref="A82:H82"/>
    <mergeCell ref="A83:H83"/>
    <mergeCell ref="A94:H94"/>
    <mergeCell ref="A95:D95"/>
    <mergeCell ref="A86:H86"/>
    <mergeCell ref="A87:H87"/>
    <mergeCell ref="A88:H88"/>
    <mergeCell ref="A90:H90"/>
    <mergeCell ref="A91:H91"/>
    <mergeCell ref="A92:H92"/>
    <mergeCell ref="A93:H93"/>
    <mergeCell ref="A106:D106"/>
    <mergeCell ref="A96:H96"/>
    <mergeCell ref="A97:H97"/>
    <mergeCell ref="A98:H98"/>
    <mergeCell ref="A99:H99"/>
    <mergeCell ref="A104:H104"/>
    <mergeCell ref="A105:H105"/>
    <mergeCell ref="A118:E118"/>
    <mergeCell ref="A107:H107"/>
    <mergeCell ref="A108:H108"/>
    <mergeCell ref="A109:H109"/>
    <mergeCell ref="A110:H110"/>
    <mergeCell ref="A111:D111"/>
    <mergeCell ref="A112:D112"/>
    <mergeCell ref="A126:H126"/>
    <mergeCell ref="A113:H113"/>
    <mergeCell ref="A114:H114"/>
    <mergeCell ref="A115:H115"/>
    <mergeCell ref="A116:D116"/>
    <mergeCell ref="A136:H136"/>
    <mergeCell ref="A129:H129"/>
    <mergeCell ref="A119:H119"/>
    <mergeCell ref="A120:H120"/>
    <mergeCell ref="A117:H117"/>
    <mergeCell ref="A121:D121"/>
    <mergeCell ref="A122:D122"/>
    <mergeCell ref="A123:H123"/>
    <mergeCell ref="A124:H124"/>
    <mergeCell ref="A125:H125"/>
    <mergeCell ref="A145:H145"/>
    <mergeCell ref="A127:H127"/>
    <mergeCell ref="A128:D128"/>
    <mergeCell ref="A143:H143"/>
    <mergeCell ref="A144:H144"/>
    <mergeCell ref="A130:H130"/>
    <mergeCell ref="A131:H131"/>
    <mergeCell ref="A132:H132"/>
    <mergeCell ref="A134:H134"/>
    <mergeCell ref="A135:H135"/>
    <mergeCell ref="A137:H137"/>
    <mergeCell ref="A133:D133"/>
    <mergeCell ref="A140:H140"/>
    <mergeCell ref="A141:D141"/>
    <mergeCell ref="A142:H142"/>
    <mergeCell ref="A146:H146"/>
    <mergeCell ref="A148:H148"/>
    <mergeCell ref="A149:H149"/>
    <mergeCell ref="A147:D147"/>
    <mergeCell ref="A155:H155"/>
    <mergeCell ref="A154:H154"/>
    <mergeCell ref="A150:D150"/>
    <mergeCell ref="A151:H151"/>
    <mergeCell ref="A152:H152"/>
    <mergeCell ref="A153:H153"/>
    <mergeCell ref="A156:D156"/>
    <mergeCell ref="A157:H157"/>
    <mergeCell ref="A165:E165"/>
    <mergeCell ref="A158:H158"/>
    <mergeCell ref="A159:H159"/>
    <mergeCell ref="A160:H160"/>
    <mergeCell ref="A161:H161"/>
    <mergeCell ref="A163:H163"/>
    <mergeCell ref="A164:H164"/>
    <mergeCell ref="A162:D162"/>
    <mergeCell ref="A36:D36"/>
    <mergeCell ref="A50:D50"/>
    <mergeCell ref="A55:D55"/>
    <mergeCell ref="A56:D56"/>
    <mergeCell ref="A100:H100"/>
    <mergeCell ref="A101:H101"/>
    <mergeCell ref="A60:D60"/>
    <mergeCell ref="A61:D61"/>
    <mergeCell ref="A62:D62"/>
    <mergeCell ref="A63:D63"/>
  </mergeCells>
  <printOptions/>
  <pageMargins left="0.6299212598425197" right="0.2755905511811024" top="0.3937007874015748" bottom="0.31496062992125984" header="0.31496062992125984" footer="0.31496062992125984"/>
  <pageSetup fitToHeight="0" fitToWidth="1" horizontalDpi="1200" verticalDpi="12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35"/>
  <sheetViews>
    <sheetView zoomScale="87" zoomScaleNormal="87" zoomScalePageLayoutView="0" workbookViewId="0" topLeftCell="A1">
      <selection activeCell="G15" sqref="G15"/>
    </sheetView>
  </sheetViews>
  <sheetFormatPr defaultColWidth="9.140625" defaultRowHeight="15"/>
  <cols>
    <col min="1" max="1" width="9.140625" style="50" customWidth="1"/>
    <col min="2" max="2" width="19.00390625" style="50" customWidth="1"/>
    <col min="3" max="3" width="24.00390625" style="50" customWidth="1"/>
    <col min="4" max="4" width="74.57421875" style="50" customWidth="1"/>
    <col min="5" max="16384" width="9.140625" style="50" customWidth="1"/>
  </cols>
  <sheetData>
    <row r="1" ht="15.75">
      <c r="D1" s="76" t="s">
        <v>122</v>
      </c>
    </row>
    <row r="2" ht="15.75">
      <c r="D2" s="76" t="s">
        <v>43</v>
      </c>
    </row>
    <row r="3" ht="15.75">
      <c r="D3" s="76" t="s">
        <v>44</v>
      </c>
    </row>
    <row r="4" ht="15.75">
      <c r="D4" s="76" t="s">
        <v>318</v>
      </c>
    </row>
    <row r="5" ht="15.75">
      <c r="D5" s="76" t="s">
        <v>467</v>
      </c>
    </row>
    <row r="7" spans="2:4" ht="18.75">
      <c r="B7" s="285" t="s">
        <v>75</v>
      </c>
      <c r="C7" s="285"/>
      <c r="D7" s="285"/>
    </row>
    <row r="9" spans="2:4" ht="38.25" customHeight="1">
      <c r="B9" s="286" t="s">
        <v>56</v>
      </c>
      <c r="C9" s="286"/>
      <c r="D9" s="286" t="s">
        <v>57</v>
      </c>
    </row>
    <row r="10" spans="2:4" ht="47.25">
      <c r="B10" s="88" t="s">
        <v>58</v>
      </c>
      <c r="C10" s="88" t="s">
        <v>59</v>
      </c>
      <c r="D10" s="286"/>
    </row>
    <row r="11" spans="2:4" ht="15" customHeight="1">
      <c r="B11" s="287">
        <v>653</v>
      </c>
      <c r="C11" s="288"/>
      <c r="D11" s="287" t="s">
        <v>303</v>
      </c>
    </row>
    <row r="12" spans="2:4" ht="15" customHeight="1">
      <c r="B12" s="287"/>
      <c r="C12" s="288"/>
      <c r="D12" s="287"/>
    </row>
    <row r="13" spans="2:4" ht="47.25" customHeight="1">
      <c r="B13" s="281">
        <v>653</v>
      </c>
      <c r="C13" s="282" t="s">
        <v>80</v>
      </c>
      <c r="D13" s="283" t="s">
        <v>46</v>
      </c>
    </row>
    <row r="14" spans="2:4" ht="15.75" customHeight="1">
      <c r="B14" s="281"/>
      <c r="C14" s="282"/>
      <c r="D14" s="283"/>
    </row>
    <row r="15" spans="2:4" ht="73.5" customHeight="1">
      <c r="B15" s="120">
        <v>653</v>
      </c>
      <c r="C15" s="79" t="s">
        <v>47</v>
      </c>
      <c r="D15" s="164" t="s">
        <v>382</v>
      </c>
    </row>
    <row r="16" spans="2:4" ht="70.5" customHeight="1">
      <c r="B16" s="126">
        <v>653</v>
      </c>
      <c r="C16" s="77" t="s">
        <v>272</v>
      </c>
      <c r="D16" s="164" t="s">
        <v>364</v>
      </c>
    </row>
    <row r="17" spans="2:4" ht="72.75" customHeight="1">
      <c r="B17" s="126">
        <v>653</v>
      </c>
      <c r="C17" s="77" t="s">
        <v>273</v>
      </c>
      <c r="D17" s="164" t="s">
        <v>383</v>
      </c>
    </row>
    <row r="18" spans="2:4" ht="63">
      <c r="B18" s="126">
        <v>653</v>
      </c>
      <c r="C18" s="127" t="s">
        <v>60</v>
      </c>
      <c r="D18" s="128" t="s">
        <v>344</v>
      </c>
    </row>
    <row r="19" spans="2:4" ht="78.75">
      <c r="B19" s="120">
        <v>653</v>
      </c>
      <c r="C19" s="45" t="s">
        <v>61</v>
      </c>
      <c r="D19" s="121" t="s">
        <v>345</v>
      </c>
    </row>
    <row r="20" spans="2:4" ht="31.5">
      <c r="B20" s="120">
        <v>653</v>
      </c>
      <c r="C20" s="45" t="s">
        <v>62</v>
      </c>
      <c r="D20" s="121" t="s">
        <v>346</v>
      </c>
    </row>
    <row r="21" spans="2:4" ht="15.75">
      <c r="B21" s="120">
        <v>653</v>
      </c>
      <c r="C21" s="45" t="s">
        <v>63</v>
      </c>
      <c r="D21" s="121" t="s">
        <v>347</v>
      </c>
    </row>
    <row r="22" spans="2:4" ht="31.5">
      <c r="B22" s="120">
        <v>653</v>
      </c>
      <c r="C22" s="45" t="s">
        <v>64</v>
      </c>
      <c r="D22" s="45" t="s">
        <v>348</v>
      </c>
    </row>
    <row r="23" spans="2:4" ht="78.75">
      <c r="B23" s="120">
        <v>653</v>
      </c>
      <c r="C23" s="45" t="s">
        <v>65</v>
      </c>
      <c r="D23" s="121" t="s">
        <v>349</v>
      </c>
    </row>
    <row r="24" spans="2:4" ht="78.75">
      <c r="B24" s="120">
        <v>653</v>
      </c>
      <c r="C24" s="45" t="s">
        <v>66</v>
      </c>
      <c r="D24" s="121" t="s">
        <v>350</v>
      </c>
    </row>
    <row r="25" spans="2:4" ht="78.75">
      <c r="B25" s="120">
        <v>653</v>
      </c>
      <c r="C25" s="45" t="s">
        <v>67</v>
      </c>
      <c r="D25" s="121" t="s">
        <v>351</v>
      </c>
    </row>
    <row r="26" spans="2:4" ht="78.75">
      <c r="B26" s="120">
        <v>653</v>
      </c>
      <c r="C26" s="45" t="s">
        <v>68</v>
      </c>
      <c r="D26" s="121" t="s">
        <v>352</v>
      </c>
    </row>
    <row r="27" spans="2:4" ht="47.25">
      <c r="B27" s="120">
        <v>653</v>
      </c>
      <c r="C27" s="45" t="s">
        <v>69</v>
      </c>
      <c r="D27" s="45" t="s">
        <v>353</v>
      </c>
    </row>
    <row r="28" spans="2:4" ht="63">
      <c r="B28" s="120">
        <v>653</v>
      </c>
      <c r="C28" s="45" t="s">
        <v>70</v>
      </c>
      <c r="D28" s="121" t="s">
        <v>354</v>
      </c>
    </row>
    <row r="29" spans="2:4" ht="63">
      <c r="B29" s="120">
        <v>653</v>
      </c>
      <c r="C29" s="45" t="s">
        <v>71</v>
      </c>
      <c r="D29" s="121" t="s">
        <v>355</v>
      </c>
    </row>
    <row r="30" spans="2:4" ht="31.5">
      <c r="B30" s="120">
        <v>653</v>
      </c>
      <c r="C30" s="45" t="s">
        <v>72</v>
      </c>
      <c r="D30" s="121" t="s">
        <v>356</v>
      </c>
    </row>
    <row r="31" spans="2:4" ht="31.5">
      <c r="B31" s="120">
        <v>653</v>
      </c>
      <c r="C31" s="45" t="s">
        <v>169</v>
      </c>
      <c r="D31" s="121" t="s">
        <v>357</v>
      </c>
    </row>
    <row r="32" spans="2:4" ht="15.75">
      <c r="B32" s="120">
        <v>653</v>
      </c>
      <c r="C32" s="45" t="s">
        <v>73</v>
      </c>
      <c r="D32" s="45" t="s">
        <v>74</v>
      </c>
    </row>
    <row r="33" spans="2:4" ht="15.75">
      <c r="B33" s="120">
        <v>653</v>
      </c>
      <c r="C33" s="45" t="s">
        <v>77</v>
      </c>
      <c r="D33" s="45" t="s">
        <v>78</v>
      </c>
    </row>
    <row r="34" spans="2:4" ht="15.75">
      <c r="B34" s="89"/>
      <c r="C34" s="90"/>
      <c r="D34" s="90"/>
    </row>
    <row r="35" spans="2:4" ht="30" customHeight="1">
      <c r="B35" s="284" t="s">
        <v>79</v>
      </c>
      <c r="C35" s="284"/>
      <c r="D35" s="284"/>
    </row>
  </sheetData>
  <sheetProtection/>
  <mergeCells count="10">
    <mergeCell ref="B13:B14"/>
    <mergeCell ref="C13:C14"/>
    <mergeCell ref="D13:D14"/>
    <mergeCell ref="B35:D35"/>
    <mergeCell ref="B7:D7"/>
    <mergeCell ref="B9:C9"/>
    <mergeCell ref="D9:D10"/>
    <mergeCell ref="B11:B12"/>
    <mergeCell ref="C11:C12"/>
    <mergeCell ref="D11:D12"/>
  </mergeCells>
  <printOptions/>
  <pageMargins left="0.7086614173228347" right="0.7086614173228347" top="0.35433070866141736" bottom="0.35433070866141736" header="0.31496062992125984" footer="0.31496062992125984"/>
  <pageSetup fitToHeight="2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9.140625" style="50" customWidth="1"/>
    <col min="2" max="2" width="19.57421875" style="50" customWidth="1"/>
    <col min="3" max="3" width="25.8515625" style="50" customWidth="1"/>
    <col min="4" max="4" width="92.00390625" style="50" customWidth="1"/>
    <col min="5" max="6" width="23.421875" style="50" customWidth="1"/>
    <col min="7" max="16384" width="9.140625" style="50" customWidth="1"/>
  </cols>
  <sheetData>
    <row r="1" ht="15.75">
      <c r="D1" s="76" t="s">
        <v>95</v>
      </c>
    </row>
    <row r="2" ht="15.75">
      <c r="D2" s="76" t="s">
        <v>261</v>
      </c>
    </row>
    <row r="3" ht="15.75">
      <c r="D3" s="76"/>
    </row>
    <row r="4" spans="2:4" ht="42" customHeight="1">
      <c r="B4" s="285" t="s">
        <v>96</v>
      </c>
      <c r="C4" s="285"/>
      <c r="D4" s="285"/>
    </row>
    <row r="6" spans="2:4" ht="15.75">
      <c r="B6" s="291" t="s">
        <v>56</v>
      </c>
      <c r="C6" s="291"/>
      <c r="D6" s="291" t="s">
        <v>57</v>
      </c>
    </row>
    <row r="7" spans="2:4" ht="47.25">
      <c r="B7" s="119" t="s">
        <v>58</v>
      </c>
      <c r="C7" s="119" t="s">
        <v>59</v>
      </c>
      <c r="D7" s="291"/>
    </row>
    <row r="8" spans="2:4" ht="15">
      <c r="B8" s="292" t="s">
        <v>104</v>
      </c>
      <c r="C8" s="293"/>
      <c r="D8" s="293" t="s">
        <v>81</v>
      </c>
    </row>
    <row r="9" spans="2:4" ht="15">
      <c r="B9" s="292"/>
      <c r="C9" s="293"/>
      <c r="D9" s="293"/>
    </row>
    <row r="10" spans="2:4" ht="15">
      <c r="B10" s="292"/>
      <c r="C10" s="293"/>
      <c r="D10" s="293"/>
    </row>
    <row r="11" spans="2:4" ht="31.5">
      <c r="B11" s="124" t="s">
        <v>104</v>
      </c>
      <c r="C11" s="120" t="s">
        <v>82</v>
      </c>
      <c r="D11" s="128" t="s">
        <v>358</v>
      </c>
    </row>
    <row r="12" spans="1:8" s="154" customFormat="1" ht="28.5" customHeight="1">
      <c r="A12" s="149"/>
      <c r="B12" s="150">
        <v>161</v>
      </c>
      <c r="C12" s="157"/>
      <c r="D12" s="151" t="s">
        <v>259</v>
      </c>
      <c r="E12" s="50"/>
      <c r="F12" s="50"/>
      <c r="G12" s="152"/>
      <c r="H12" s="153"/>
    </row>
    <row r="13" spans="1:8" s="154" customFormat="1" ht="45" customHeight="1">
      <c r="A13" s="155"/>
      <c r="B13" s="158">
        <v>161</v>
      </c>
      <c r="C13" s="120" t="s">
        <v>262</v>
      </c>
      <c r="D13" s="157" t="s">
        <v>260</v>
      </c>
      <c r="E13" s="50"/>
      <c r="F13" s="50"/>
      <c r="G13" s="152"/>
      <c r="H13" s="153"/>
    </row>
    <row r="14" spans="1:8" s="154" customFormat="1" ht="47.25" customHeight="1">
      <c r="A14" s="156"/>
      <c r="B14" s="158">
        <v>161</v>
      </c>
      <c r="C14" s="120" t="s">
        <v>101</v>
      </c>
      <c r="D14" s="106" t="s">
        <v>359</v>
      </c>
      <c r="E14" s="50"/>
      <c r="F14" s="50"/>
      <c r="G14" s="152"/>
      <c r="H14" s="153"/>
    </row>
    <row r="15" spans="2:4" ht="31.5">
      <c r="B15" s="122">
        <v>182</v>
      </c>
      <c r="C15" s="120"/>
      <c r="D15" s="132" t="s">
        <v>83</v>
      </c>
    </row>
    <row r="16" spans="2:4" ht="63">
      <c r="B16" s="124">
        <v>182</v>
      </c>
      <c r="C16" s="120" t="s">
        <v>84</v>
      </c>
      <c r="D16" s="128" t="s">
        <v>187</v>
      </c>
    </row>
    <row r="17" spans="2:4" ht="78.75">
      <c r="B17" s="124">
        <v>182</v>
      </c>
      <c r="C17" s="120" t="s">
        <v>170</v>
      </c>
      <c r="D17" s="127" t="s">
        <v>171</v>
      </c>
    </row>
    <row r="18" spans="2:4" ht="31.5">
      <c r="B18" s="124">
        <v>182</v>
      </c>
      <c r="C18" s="120" t="s">
        <v>85</v>
      </c>
      <c r="D18" s="127" t="s">
        <v>172</v>
      </c>
    </row>
    <row r="19" spans="2:4" ht="63">
      <c r="B19" s="124">
        <v>182</v>
      </c>
      <c r="C19" s="120" t="s">
        <v>86</v>
      </c>
      <c r="D19" s="127" t="s">
        <v>173</v>
      </c>
    </row>
    <row r="20" spans="2:4" ht="18.75">
      <c r="B20" s="124">
        <v>182</v>
      </c>
      <c r="C20" s="120" t="s">
        <v>87</v>
      </c>
      <c r="D20" s="128" t="s">
        <v>174</v>
      </c>
    </row>
    <row r="21" spans="2:4" ht="31.5">
      <c r="B21" s="124">
        <v>182</v>
      </c>
      <c r="C21" s="120" t="s">
        <v>88</v>
      </c>
      <c r="D21" s="128" t="s">
        <v>175</v>
      </c>
    </row>
    <row r="22" spans="2:4" ht="31.5">
      <c r="B22" s="124">
        <v>182</v>
      </c>
      <c r="C22" s="120" t="s">
        <v>89</v>
      </c>
      <c r="D22" s="128" t="s">
        <v>176</v>
      </c>
    </row>
    <row r="23" spans="2:4" ht="47.25">
      <c r="B23" s="124">
        <v>182</v>
      </c>
      <c r="C23" s="120" t="s">
        <v>90</v>
      </c>
      <c r="D23" s="128" t="s">
        <v>177</v>
      </c>
    </row>
    <row r="24" spans="2:4" ht="52.5" customHeight="1">
      <c r="B24" s="124">
        <v>182</v>
      </c>
      <c r="C24" s="120" t="s">
        <v>91</v>
      </c>
      <c r="D24" s="128" t="s">
        <v>178</v>
      </c>
    </row>
    <row r="25" spans="2:4" ht="34.5">
      <c r="B25" s="124">
        <v>182</v>
      </c>
      <c r="C25" s="120" t="s">
        <v>92</v>
      </c>
      <c r="D25" s="128" t="s">
        <v>179</v>
      </c>
    </row>
    <row r="26" spans="2:4" ht="31.5">
      <c r="B26" s="124">
        <v>182</v>
      </c>
      <c r="C26" s="120" t="s">
        <v>72</v>
      </c>
      <c r="D26" s="128" t="s">
        <v>356</v>
      </c>
    </row>
    <row r="27" spans="2:4" ht="15.75">
      <c r="B27" s="122"/>
      <c r="C27" s="289"/>
      <c r="D27" s="290" t="s">
        <v>180</v>
      </c>
    </row>
    <row r="28" spans="2:4" ht="15.75">
      <c r="B28" s="122">
        <v>188</v>
      </c>
      <c r="C28" s="289"/>
      <c r="D28" s="290"/>
    </row>
    <row r="29" spans="2:4" ht="45" customHeight="1">
      <c r="B29" s="124">
        <v>188</v>
      </c>
      <c r="C29" s="120" t="s">
        <v>93</v>
      </c>
      <c r="D29" s="128" t="s">
        <v>360</v>
      </c>
    </row>
    <row r="30" spans="2:4" ht="31.5">
      <c r="B30" s="122">
        <v>322</v>
      </c>
      <c r="C30" s="123"/>
      <c r="D30" s="132" t="s">
        <v>94</v>
      </c>
    </row>
    <row r="31" spans="2:4" ht="45" customHeight="1">
      <c r="B31" s="124">
        <v>322</v>
      </c>
      <c r="C31" s="120" t="s">
        <v>93</v>
      </c>
      <c r="D31" s="128" t="s">
        <v>360</v>
      </c>
    </row>
    <row r="32" spans="2:4" ht="45" customHeight="1">
      <c r="B32" s="129"/>
      <c r="C32" s="89"/>
      <c r="D32" s="130"/>
    </row>
    <row r="33" spans="2:4" ht="15.75">
      <c r="B33" s="129"/>
      <c r="C33" s="89"/>
      <c r="D33" s="130"/>
    </row>
    <row r="34" ht="15">
      <c r="B34" s="131" t="s">
        <v>181</v>
      </c>
    </row>
    <row r="35" ht="15.75">
      <c r="B35" s="93" t="s">
        <v>182</v>
      </c>
    </row>
    <row r="36" ht="15.75">
      <c r="B36" s="93" t="s">
        <v>97</v>
      </c>
    </row>
    <row r="37" ht="15.75">
      <c r="B37" s="93" t="s">
        <v>98</v>
      </c>
    </row>
    <row r="38" ht="15.75">
      <c r="B38" s="93" t="s">
        <v>106</v>
      </c>
    </row>
  </sheetData>
  <sheetProtection/>
  <mergeCells count="8">
    <mergeCell ref="C27:C28"/>
    <mergeCell ref="D27:D28"/>
    <mergeCell ref="B4:D4"/>
    <mergeCell ref="B6:C6"/>
    <mergeCell ref="D6:D7"/>
    <mergeCell ref="B8:B10"/>
    <mergeCell ref="C8:C10"/>
    <mergeCell ref="D8:D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1"/>
  <sheetViews>
    <sheetView zoomScalePageLayoutView="0" workbookViewId="0" topLeftCell="A1">
      <selection activeCell="E6" sqref="E6:E7"/>
    </sheetView>
  </sheetViews>
  <sheetFormatPr defaultColWidth="9.140625" defaultRowHeight="15"/>
  <cols>
    <col min="1" max="1" width="9.140625" style="50" customWidth="1"/>
    <col min="2" max="2" width="19.57421875" style="50" customWidth="1"/>
    <col min="3" max="3" width="25.8515625" style="50" customWidth="1"/>
    <col min="4" max="4" width="73.8515625" style="50" customWidth="1"/>
    <col min="5" max="6" width="23.421875" style="50" customWidth="1"/>
    <col min="7" max="16384" width="9.140625" style="50" customWidth="1"/>
  </cols>
  <sheetData>
    <row r="1" ht="15.75">
      <c r="D1" s="76" t="s">
        <v>466</v>
      </c>
    </row>
    <row r="2" ht="15.75">
      <c r="D2" s="76" t="s">
        <v>261</v>
      </c>
    </row>
    <row r="3" ht="16.5" customHeight="1">
      <c r="D3" s="76"/>
    </row>
    <row r="4" spans="2:4" ht="81" customHeight="1">
      <c r="B4" s="294" t="s">
        <v>265</v>
      </c>
      <c r="C4" s="294"/>
      <c r="D4" s="294"/>
    </row>
    <row r="5" ht="15.75" thickBot="1"/>
    <row r="6" spans="2:4" ht="15.75" customHeight="1">
      <c r="B6" s="297" t="s">
        <v>45</v>
      </c>
      <c r="C6" s="298"/>
      <c r="D6" s="299" t="s">
        <v>102</v>
      </c>
    </row>
    <row r="7" spans="2:4" ht="16.5" thickBot="1">
      <c r="B7" s="295" t="s">
        <v>99</v>
      </c>
      <c r="C7" s="296"/>
      <c r="D7" s="300"/>
    </row>
    <row r="8" spans="2:4" ht="48" thickBot="1">
      <c r="B8" s="91" t="s">
        <v>58</v>
      </c>
      <c r="C8" s="92" t="s">
        <v>100</v>
      </c>
      <c r="D8" s="301"/>
    </row>
    <row r="9" spans="2:4" ht="15">
      <c r="B9" s="102">
        <v>40</v>
      </c>
      <c r="C9" s="103" t="s">
        <v>134</v>
      </c>
      <c r="D9" s="104" t="s">
        <v>103</v>
      </c>
    </row>
    <row r="10" spans="2:4" ht="45">
      <c r="B10" s="105">
        <v>40</v>
      </c>
      <c r="C10" s="106" t="s">
        <v>135</v>
      </c>
      <c r="D10" s="106" t="s">
        <v>361</v>
      </c>
    </row>
    <row r="11" spans="2:4" ht="45">
      <c r="B11" s="105">
        <v>40</v>
      </c>
      <c r="C11" s="106" t="s">
        <v>136</v>
      </c>
      <c r="D11" s="106" t="s">
        <v>362</v>
      </c>
    </row>
    <row r="12" spans="2:4" ht="45.75" thickBot="1">
      <c r="B12" s="105">
        <v>40</v>
      </c>
      <c r="C12" s="165" t="s">
        <v>101</v>
      </c>
      <c r="D12" s="165" t="s">
        <v>359</v>
      </c>
    </row>
    <row r="13" spans="2:4" ht="60">
      <c r="B13" s="105">
        <v>40</v>
      </c>
      <c r="C13" s="106" t="s">
        <v>138</v>
      </c>
      <c r="D13" s="106" t="s">
        <v>363</v>
      </c>
    </row>
    <row r="14" spans="2:4" ht="60">
      <c r="B14" s="105">
        <v>40</v>
      </c>
      <c r="C14" s="106" t="s">
        <v>139</v>
      </c>
      <c r="D14" s="106" t="s">
        <v>140</v>
      </c>
    </row>
    <row r="15" spans="2:4" ht="60">
      <c r="B15" s="105">
        <v>40</v>
      </c>
      <c r="C15" s="106" t="s">
        <v>141</v>
      </c>
      <c r="D15" s="106" t="s">
        <v>364</v>
      </c>
    </row>
    <row r="16" spans="2:4" ht="45">
      <c r="B16" s="105">
        <v>40</v>
      </c>
      <c r="C16" s="106" t="s">
        <v>142</v>
      </c>
      <c r="D16" s="106" t="s">
        <v>365</v>
      </c>
    </row>
    <row r="17" spans="2:4" ht="63" customHeight="1">
      <c r="B17" s="105">
        <v>40</v>
      </c>
      <c r="C17" s="106" t="s">
        <v>143</v>
      </c>
      <c r="D17" s="106" t="s">
        <v>345</v>
      </c>
    </row>
    <row r="18" spans="2:4" ht="45" customHeight="1">
      <c r="B18" s="105">
        <v>40</v>
      </c>
      <c r="C18" s="106" t="s">
        <v>144</v>
      </c>
      <c r="D18" s="106" t="s">
        <v>366</v>
      </c>
    </row>
    <row r="19" spans="2:4" ht="15.75">
      <c r="B19" s="100"/>
      <c r="C19" s="90"/>
      <c r="D19" s="101"/>
    </row>
    <row r="21" ht="15.75">
      <c r="B21" s="93" t="s">
        <v>105</v>
      </c>
    </row>
  </sheetData>
  <sheetProtection/>
  <mergeCells count="4">
    <mergeCell ref="B4:D4"/>
    <mergeCell ref="B7:C7"/>
    <mergeCell ref="B6:C6"/>
    <mergeCell ref="D6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9.140625" style="50" customWidth="1"/>
    <col min="2" max="2" width="13.00390625" style="50" customWidth="1"/>
    <col min="3" max="3" width="32.140625" style="50" customWidth="1"/>
    <col min="4" max="4" width="74.00390625" style="50" customWidth="1"/>
    <col min="5" max="16384" width="9.140625" style="50" customWidth="1"/>
  </cols>
  <sheetData>
    <row r="1" ht="15.75">
      <c r="D1" s="76" t="s">
        <v>51</v>
      </c>
    </row>
    <row r="2" ht="15.75">
      <c r="D2" s="76" t="s">
        <v>43</v>
      </c>
    </row>
    <row r="3" ht="15.75">
      <c r="D3" s="76" t="s">
        <v>44</v>
      </c>
    </row>
    <row r="4" ht="15.75">
      <c r="D4" s="76" t="s">
        <v>318</v>
      </c>
    </row>
    <row r="5" ht="15.75">
      <c r="D5" s="76" t="s">
        <v>468</v>
      </c>
    </row>
    <row r="7" spans="2:4" ht="64.5" customHeight="1">
      <c r="B7" s="294" t="s">
        <v>266</v>
      </c>
      <c r="C7" s="294"/>
      <c r="D7" s="294"/>
    </row>
    <row r="8" ht="15.75" thickBot="1"/>
    <row r="9" spans="2:4" ht="32.25" thickBot="1">
      <c r="B9" s="94" t="s">
        <v>107</v>
      </c>
      <c r="C9" s="95" t="s">
        <v>108</v>
      </c>
      <c r="D9" s="95" t="s">
        <v>311</v>
      </c>
    </row>
    <row r="10" spans="2:4" ht="16.5" thickBot="1">
      <c r="B10" s="96">
        <v>653</v>
      </c>
      <c r="C10" s="87"/>
      <c r="D10" s="85" t="s">
        <v>303</v>
      </c>
    </row>
    <row r="11" spans="2:4" ht="48" thickBot="1">
      <c r="B11" s="86">
        <v>653</v>
      </c>
      <c r="C11" s="84" t="s">
        <v>109</v>
      </c>
      <c r="D11" s="87" t="s">
        <v>367</v>
      </c>
    </row>
    <row r="12" spans="2:4" ht="48" thickBot="1">
      <c r="B12" s="86">
        <v>653</v>
      </c>
      <c r="C12" s="84" t="s">
        <v>110</v>
      </c>
      <c r="D12" s="161" t="s">
        <v>368</v>
      </c>
    </row>
    <row r="13" spans="2:4" ht="32.25" thickBot="1">
      <c r="B13" s="86">
        <v>653</v>
      </c>
      <c r="C13" s="84" t="s">
        <v>111</v>
      </c>
      <c r="D13" s="161" t="s">
        <v>369</v>
      </c>
    </row>
    <row r="14" spans="2:4" ht="32.25" thickBot="1">
      <c r="B14" s="86">
        <v>653</v>
      </c>
      <c r="C14" s="84" t="s">
        <v>112</v>
      </c>
      <c r="D14" s="161" t="s">
        <v>370</v>
      </c>
    </row>
    <row r="15" spans="2:4" ht="48" thickBot="1">
      <c r="B15" s="86">
        <v>653</v>
      </c>
      <c r="C15" s="84" t="s">
        <v>113</v>
      </c>
      <c r="D15" s="161" t="s">
        <v>371</v>
      </c>
    </row>
    <row r="16" spans="2:4" ht="48" thickBot="1">
      <c r="B16" s="86">
        <v>653</v>
      </c>
      <c r="C16" s="84" t="s">
        <v>114</v>
      </c>
      <c r="D16" s="161" t="s">
        <v>372</v>
      </c>
    </row>
    <row r="17" spans="2:4" ht="40.5" customHeight="1" thickBot="1">
      <c r="B17" s="86">
        <v>653</v>
      </c>
      <c r="C17" s="84" t="s">
        <v>115</v>
      </c>
      <c r="D17" s="161" t="s">
        <v>373</v>
      </c>
    </row>
    <row r="18" spans="2:4" ht="35.25" customHeight="1" thickBot="1">
      <c r="B18" s="86">
        <v>653</v>
      </c>
      <c r="C18" s="84" t="s">
        <v>116</v>
      </c>
      <c r="D18" s="161" t="s">
        <v>374</v>
      </c>
    </row>
    <row r="19" spans="2:4" ht="32.25" thickBot="1">
      <c r="B19" s="86">
        <v>653</v>
      </c>
      <c r="C19" s="84" t="s">
        <v>117</v>
      </c>
      <c r="D19" s="161" t="s">
        <v>375</v>
      </c>
    </row>
    <row r="20" spans="2:4" ht="32.25" thickBot="1">
      <c r="B20" s="86">
        <v>653</v>
      </c>
      <c r="C20" s="84" t="s">
        <v>118</v>
      </c>
      <c r="D20" s="161" t="s">
        <v>376</v>
      </c>
    </row>
    <row r="21" spans="2:4" ht="32.25" thickBot="1">
      <c r="B21" s="86">
        <v>653</v>
      </c>
      <c r="C21" s="84" t="s">
        <v>119</v>
      </c>
      <c r="D21" s="161" t="s">
        <v>377</v>
      </c>
    </row>
    <row r="22" spans="2:4" ht="34.5" customHeight="1" thickBot="1">
      <c r="B22" s="86">
        <v>653</v>
      </c>
      <c r="C22" s="84" t="s">
        <v>186</v>
      </c>
      <c r="D22" s="161" t="s">
        <v>378</v>
      </c>
    </row>
    <row r="23" spans="2:4" ht="36" customHeight="1" thickBot="1">
      <c r="B23" s="86">
        <v>653</v>
      </c>
      <c r="C23" s="84" t="s">
        <v>185</v>
      </c>
      <c r="D23" s="161" t="s">
        <v>379</v>
      </c>
    </row>
    <row r="24" spans="2:4" ht="32.25" thickBot="1">
      <c r="B24" s="86">
        <v>653</v>
      </c>
      <c r="C24" s="84" t="s">
        <v>120</v>
      </c>
      <c r="D24" s="161" t="s">
        <v>380</v>
      </c>
    </row>
    <row r="25" spans="2:4" ht="32.25" thickBot="1">
      <c r="B25" s="86">
        <v>653</v>
      </c>
      <c r="C25" s="84" t="s">
        <v>121</v>
      </c>
      <c r="D25" s="161" t="s">
        <v>381</v>
      </c>
    </row>
  </sheetData>
  <sheetProtection/>
  <mergeCells count="1">
    <mergeCell ref="B7:D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34"/>
  <sheetViews>
    <sheetView zoomScalePageLayoutView="0" workbookViewId="0" topLeftCell="A1">
      <selection activeCell="N8" sqref="N8"/>
    </sheetView>
  </sheetViews>
  <sheetFormatPr defaultColWidth="9.140625" defaultRowHeight="15"/>
  <cols>
    <col min="1" max="1" width="63.7109375" style="0" customWidth="1"/>
    <col min="2" max="2" width="7.28125" style="0" customWidth="1"/>
    <col min="3" max="3" width="6.7109375" style="0" customWidth="1"/>
    <col min="4" max="4" width="13.140625" style="0" hidden="1" customWidth="1"/>
    <col min="5" max="5" width="15.00390625" style="0" customWidth="1"/>
    <col min="6" max="6" width="14.00390625" style="0" hidden="1" customWidth="1"/>
    <col min="7" max="7" width="12.7109375" style="0" hidden="1" customWidth="1"/>
    <col min="8" max="8" width="14.8515625" style="0" hidden="1" customWidth="1"/>
    <col min="9" max="9" width="0" style="0" hidden="1" customWidth="1"/>
    <col min="10" max="10" width="12.8515625" style="0" hidden="1" customWidth="1"/>
    <col min="11" max="11" width="14.57421875" style="0" hidden="1" customWidth="1"/>
    <col min="12" max="12" width="13.00390625" style="0" hidden="1" customWidth="1"/>
  </cols>
  <sheetData>
    <row r="1" spans="1:11" ht="15.75">
      <c r="A1" s="30"/>
      <c r="B1" s="31"/>
      <c r="C1" s="31"/>
      <c r="D1" s="32"/>
      <c r="E1" s="76" t="s">
        <v>42</v>
      </c>
      <c r="F1" s="32"/>
      <c r="G1" s="33"/>
      <c r="H1" s="33"/>
      <c r="I1" s="33"/>
      <c r="J1" s="33"/>
      <c r="K1" s="76" t="s">
        <v>42</v>
      </c>
    </row>
    <row r="2" spans="1:11" ht="15.75">
      <c r="A2" s="30"/>
      <c r="B2" s="31"/>
      <c r="C2" s="31"/>
      <c r="D2" s="32"/>
      <c r="E2" s="76" t="s">
        <v>43</v>
      </c>
      <c r="F2" s="32"/>
      <c r="G2" s="33"/>
      <c r="H2" s="33"/>
      <c r="I2" s="33"/>
      <c r="J2" s="33"/>
      <c r="K2" s="76" t="s">
        <v>43</v>
      </c>
    </row>
    <row r="3" spans="1:11" ht="15.75">
      <c r="A3" s="30"/>
      <c r="B3" s="31"/>
      <c r="C3" s="31"/>
      <c r="D3" s="32"/>
      <c r="E3" s="76" t="s">
        <v>44</v>
      </c>
      <c r="F3" s="32"/>
      <c r="G3" s="33"/>
      <c r="H3" s="33"/>
      <c r="I3" s="33"/>
      <c r="J3" s="33"/>
      <c r="K3" s="76" t="s">
        <v>44</v>
      </c>
    </row>
    <row r="4" spans="1:11" ht="15.75">
      <c r="A4" s="35"/>
      <c r="B4" s="36"/>
      <c r="C4" s="36"/>
      <c r="D4" s="32"/>
      <c r="E4" s="76" t="s">
        <v>318</v>
      </c>
      <c r="F4" s="32"/>
      <c r="G4" s="33"/>
      <c r="H4" s="33"/>
      <c r="I4" s="33"/>
      <c r="J4" s="33"/>
      <c r="K4" s="76" t="s">
        <v>318</v>
      </c>
    </row>
    <row r="5" spans="1:12" ht="15.75">
      <c r="A5" s="35"/>
      <c r="B5" s="36"/>
      <c r="C5" s="36"/>
      <c r="D5" s="37"/>
      <c r="E5" s="76" t="s">
        <v>467</v>
      </c>
      <c r="F5" s="37"/>
      <c r="G5" s="33"/>
      <c r="H5" s="33"/>
      <c r="I5" s="33"/>
      <c r="J5" s="34"/>
      <c r="K5" s="76" t="s">
        <v>282</v>
      </c>
      <c r="L5" s="33"/>
    </row>
    <row r="6" spans="1:12" ht="45.75" customHeight="1">
      <c r="A6" s="302" t="s">
        <v>267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</row>
    <row r="7" spans="1:12" ht="16.5">
      <c r="A7" s="38"/>
      <c r="B7" s="38"/>
      <c r="C7" s="38"/>
      <c r="D7" s="38"/>
      <c r="E7" s="38"/>
      <c r="F7" s="38"/>
      <c r="G7" s="38"/>
      <c r="H7" s="38"/>
      <c r="I7" s="38"/>
      <c r="J7" s="39" t="s">
        <v>2</v>
      </c>
      <c r="K7" s="75" t="s">
        <v>130</v>
      </c>
      <c r="L7" s="38"/>
    </row>
    <row r="8" spans="1:14" ht="72.75" customHeight="1">
      <c r="A8" s="40" t="s">
        <v>311</v>
      </c>
      <c r="B8" s="40" t="s">
        <v>3</v>
      </c>
      <c r="C8" s="40" t="s">
        <v>4</v>
      </c>
      <c r="D8" s="41" t="s">
        <v>321</v>
      </c>
      <c r="E8" s="40" t="s">
        <v>50</v>
      </c>
      <c r="F8" s="40" t="s">
        <v>325</v>
      </c>
      <c r="G8" s="40" t="s">
        <v>5</v>
      </c>
      <c r="H8" s="40" t="s">
        <v>189</v>
      </c>
      <c r="I8" s="40" t="s">
        <v>325</v>
      </c>
      <c r="J8" s="40" t="s">
        <v>6</v>
      </c>
      <c r="K8" s="40" t="s">
        <v>278</v>
      </c>
      <c r="L8" s="40" t="s">
        <v>325</v>
      </c>
      <c r="M8" s="162"/>
      <c r="N8" s="162"/>
    </row>
    <row r="9" spans="1:14" ht="15.75">
      <c r="A9" s="200" t="s">
        <v>10</v>
      </c>
      <c r="B9" s="201"/>
      <c r="C9" s="201"/>
      <c r="D9" s="202" t="e">
        <f>D7+D4+#REF!+#REF!+#REF!+#REF!+#REF!</f>
        <v>#REF!</v>
      </c>
      <c r="E9" s="202">
        <f>E10+E16+E18+E22+E24+E28+E31+E33</f>
        <v>27271.59536</v>
      </c>
      <c r="F9" s="72" t="e">
        <f>F10+F16+F18+F22+F24+F28+F33</f>
        <v>#REF!</v>
      </c>
      <c r="G9" s="72" t="e">
        <f>G10+G16+G18+G22+G24+G28+G33</f>
        <v>#REF!</v>
      </c>
      <c r="H9" s="72" t="e">
        <f>H10+H16+H18+H22+H24+H28+H31+H33</f>
        <v>#REF!</v>
      </c>
      <c r="I9" s="72" t="e">
        <f>I10+I16+I18+I22+I24+I28+I31+I33</f>
        <v>#REF!</v>
      </c>
      <c r="J9" s="72" t="e">
        <f>J10+J16+J18+J22+J24+J28+J31+J33</f>
        <v>#REF!</v>
      </c>
      <c r="K9" s="72" t="e">
        <f>K10+K16+K18+K22+K24+K28+K31+K33</f>
        <v>#REF!</v>
      </c>
      <c r="L9" s="72" t="e">
        <f>L7+L4+#REF!+#REF!+#REF!+#REF!+#REF!</f>
        <v>#REF!</v>
      </c>
      <c r="M9" s="162"/>
      <c r="N9" s="162"/>
    </row>
    <row r="10" spans="1:14" ht="15.75">
      <c r="A10" s="200" t="s">
        <v>302</v>
      </c>
      <c r="B10" s="203">
        <v>1</v>
      </c>
      <c r="C10" s="203">
        <v>0</v>
      </c>
      <c r="D10" s="204">
        <f aca="true" t="shared" si="0" ref="D10:L10">SUM(D11:D15)</f>
        <v>12136.19572</v>
      </c>
      <c r="E10" s="204">
        <f t="shared" si="0"/>
        <v>11080.3</v>
      </c>
      <c r="F10" s="68">
        <f t="shared" si="0"/>
        <v>-1055.8957199999995</v>
      </c>
      <c r="G10" s="68">
        <f t="shared" si="0"/>
        <v>12266.6</v>
      </c>
      <c r="H10" s="68" t="e">
        <f t="shared" si="0"/>
        <v>#REF!</v>
      </c>
      <c r="I10" s="68" t="e">
        <f t="shared" si="0"/>
        <v>#REF!</v>
      </c>
      <c r="J10" s="68">
        <f t="shared" si="0"/>
        <v>12746.2</v>
      </c>
      <c r="K10" s="68" t="e">
        <f t="shared" si="0"/>
        <v>#REF!</v>
      </c>
      <c r="L10" s="68" t="e">
        <f t="shared" si="0"/>
        <v>#REF!</v>
      </c>
      <c r="M10" s="162"/>
      <c r="N10" s="162"/>
    </row>
    <row r="11" spans="1:14" ht="31.5">
      <c r="A11" s="205" t="s">
        <v>301</v>
      </c>
      <c r="B11" s="206">
        <v>1</v>
      </c>
      <c r="C11" s="206">
        <v>2</v>
      </c>
      <c r="D11" s="207">
        <v>1284.4011</v>
      </c>
      <c r="E11" s="207">
        <f>'Приложение 6 (2)'!N15</f>
        <v>1304.4</v>
      </c>
      <c r="F11" s="69">
        <f>E11-D11</f>
        <v>19.99890000000005</v>
      </c>
      <c r="G11" s="69">
        <v>1264.4</v>
      </c>
      <c r="H11" s="69">
        <f>'Приложение 6 (2)'!P15</f>
        <v>1304.4011</v>
      </c>
      <c r="I11" s="70">
        <f aca="true" t="shared" si="1" ref="I11:I34">H11-G11</f>
        <v>40.00109999999995</v>
      </c>
      <c r="J11" s="69">
        <v>1284.4</v>
      </c>
      <c r="K11" s="69">
        <f>'Приложение 6 (2)'!R15</f>
        <v>1304.4011</v>
      </c>
      <c r="L11" s="69">
        <f aca="true" t="shared" si="2" ref="L11:L34">K11-J11</f>
        <v>20.00109999999995</v>
      </c>
      <c r="M11" s="162"/>
      <c r="N11" s="162"/>
    </row>
    <row r="12" spans="1:14" ht="47.25">
      <c r="A12" s="205" t="s">
        <v>300</v>
      </c>
      <c r="B12" s="206">
        <v>1</v>
      </c>
      <c r="C12" s="206">
        <v>3</v>
      </c>
      <c r="D12" s="207">
        <v>5</v>
      </c>
      <c r="E12" s="207">
        <v>5</v>
      </c>
      <c r="F12" s="69">
        <f aca="true" t="shared" si="3" ref="F12:F34">E12-D12</f>
        <v>0</v>
      </c>
      <c r="G12" s="69">
        <v>10</v>
      </c>
      <c r="H12" s="69">
        <f>'Приложение 6 (2)'!P22</f>
        <v>0</v>
      </c>
      <c r="I12" s="70">
        <f t="shared" si="1"/>
        <v>-10</v>
      </c>
      <c r="J12" s="69">
        <v>10</v>
      </c>
      <c r="K12" s="69">
        <f>'Приложение 6 (2)'!R22</f>
        <v>0</v>
      </c>
      <c r="L12" s="69">
        <f t="shared" si="2"/>
        <v>-10</v>
      </c>
      <c r="M12" s="162"/>
      <c r="N12" s="162"/>
    </row>
    <row r="13" spans="1:14" ht="47.25">
      <c r="A13" s="205" t="s">
        <v>299</v>
      </c>
      <c r="B13" s="206">
        <v>1</v>
      </c>
      <c r="C13" s="206">
        <v>4</v>
      </c>
      <c r="D13" s="207">
        <v>4322.77079</v>
      </c>
      <c r="E13" s="207">
        <v>3629.1</v>
      </c>
      <c r="F13" s="69">
        <f t="shared" si="3"/>
        <v>-693.6707899999997</v>
      </c>
      <c r="G13" s="69">
        <v>3016.4</v>
      </c>
      <c r="H13" s="69">
        <f>'Приложение 6 (2)'!P28</f>
        <v>5.3</v>
      </c>
      <c r="I13" s="70">
        <f t="shared" si="1"/>
        <v>-3011.1</v>
      </c>
      <c r="J13" s="125">
        <v>3098.3</v>
      </c>
      <c r="K13" s="69">
        <f>'Приложение 6 (2)'!R28</f>
        <v>5.5</v>
      </c>
      <c r="L13" s="69">
        <f t="shared" si="2"/>
        <v>-3092.8</v>
      </c>
      <c r="M13" s="162"/>
      <c r="N13" s="162"/>
    </row>
    <row r="14" spans="1:14" ht="15.75">
      <c r="A14" s="205" t="s">
        <v>297</v>
      </c>
      <c r="B14" s="206">
        <v>1</v>
      </c>
      <c r="C14" s="206">
        <v>11</v>
      </c>
      <c r="D14" s="207">
        <v>150</v>
      </c>
      <c r="E14" s="207">
        <v>150</v>
      </c>
      <c r="F14" s="69">
        <f t="shared" si="3"/>
        <v>0</v>
      </c>
      <c r="G14" s="69">
        <v>150</v>
      </c>
      <c r="H14" s="69" t="e">
        <f>'Приложение 6 (2)'!#REF!</f>
        <v>#REF!</v>
      </c>
      <c r="I14" s="70" t="e">
        <f t="shared" si="1"/>
        <v>#REF!</v>
      </c>
      <c r="J14" s="125">
        <v>150</v>
      </c>
      <c r="K14" s="69" t="e">
        <f>'Приложение 6 (2)'!#REF!</f>
        <v>#REF!</v>
      </c>
      <c r="L14" s="69" t="e">
        <f t="shared" si="2"/>
        <v>#REF!</v>
      </c>
      <c r="M14" s="162"/>
      <c r="N14" s="162"/>
    </row>
    <row r="15" spans="1:14" ht="15.75">
      <c r="A15" s="205" t="s">
        <v>296</v>
      </c>
      <c r="B15" s="206">
        <v>1</v>
      </c>
      <c r="C15" s="206">
        <v>13</v>
      </c>
      <c r="D15" s="207">
        <v>6374.02383</v>
      </c>
      <c r="E15" s="207">
        <v>5991.8</v>
      </c>
      <c r="F15" s="69">
        <f t="shared" si="3"/>
        <v>-382.2238299999999</v>
      </c>
      <c r="G15" s="69">
        <v>7825.8</v>
      </c>
      <c r="H15" s="69">
        <f>'Приложение 6 (2)'!P45</f>
        <v>0</v>
      </c>
      <c r="I15" s="70">
        <f t="shared" si="1"/>
        <v>-7825.8</v>
      </c>
      <c r="J15" s="69">
        <v>8203.5</v>
      </c>
      <c r="K15" s="69">
        <f>'Приложение 6 (2)'!R45</f>
        <v>0</v>
      </c>
      <c r="L15" s="69">
        <f t="shared" si="2"/>
        <v>-8203.5</v>
      </c>
      <c r="M15" s="163"/>
      <c r="N15" s="162"/>
    </row>
    <row r="16" spans="1:14" ht="15.75">
      <c r="A16" s="200" t="s">
        <v>295</v>
      </c>
      <c r="B16" s="203">
        <v>2</v>
      </c>
      <c r="C16" s="203">
        <v>0</v>
      </c>
      <c r="D16" s="204">
        <f aca="true" t="shared" si="4" ref="D16:L16">D17</f>
        <v>167.1</v>
      </c>
      <c r="E16" s="204">
        <f t="shared" si="4"/>
        <v>156</v>
      </c>
      <c r="F16" s="68">
        <f t="shared" si="4"/>
        <v>-11.099999999999994</v>
      </c>
      <c r="G16" s="68">
        <f t="shared" si="4"/>
        <v>229.3</v>
      </c>
      <c r="H16" s="68">
        <f t="shared" si="4"/>
        <v>156</v>
      </c>
      <c r="I16" s="68">
        <f t="shared" si="4"/>
        <v>-73.30000000000001</v>
      </c>
      <c r="J16" s="68">
        <f t="shared" si="4"/>
        <v>232.1</v>
      </c>
      <c r="K16" s="68">
        <f t="shared" si="4"/>
        <v>156</v>
      </c>
      <c r="L16" s="68">
        <f t="shared" si="4"/>
        <v>-76.1</v>
      </c>
      <c r="M16" s="162"/>
      <c r="N16" s="162"/>
    </row>
    <row r="17" spans="1:14" ht="15.75">
      <c r="A17" s="205" t="s">
        <v>294</v>
      </c>
      <c r="B17" s="206">
        <v>2</v>
      </c>
      <c r="C17" s="206">
        <v>3</v>
      </c>
      <c r="D17" s="207">
        <v>167.1</v>
      </c>
      <c r="E17" s="207">
        <f>'Приложение 6 (2)'!N61</f>
        <v>156</v>
      </c>
      <c r="F17" s="69">
        <f t="shared" si="3"/>
        <v>-11.099999999999994</v>
      </c>
      <c r="G17" s="69">
        <v>229.3</v>
      </c>
      <c r="H17" s="69">
        <f>'Приложение 6 (2)'!P61</f>
        <v>156</v>
      </c>
      <c r="I17" s="70">
        <f t="shared" si="1"/>
        <v>-73.30000000000001</v>
      </c>
      <c r="J17" s="125">
        <v>232.1</v>
      </c>
      <c r="K17" s="69">
        <f>'Приложение 6 (2)'!R61</f>
        <v>156</v>
      </c>
      <c r="L17" s="70">
        <f t="shared" si="2"/>
        <v>-76.1</v>
      </c>
      <c r="M17" s="162"/>
      <c r="N17" s="162"/>
    </row>
    <row r="18" spans="1:14" ht="31.5">
      <c r="A18" s="200" t="s">
        <v>293</v>
      </c>
      <c r="B18" s="203">
        <v>3</v>
      </c>
      <c r="C18" s="203">
        <v>0</v>
      </c>
      <c r="D18" s="204">
        <f aca="true" t="shared" si="5" ref="D18:L18">D19+D20+D21</f>
        <v>456.19575</v>
      </c>
      <c r="E18" s="204">
        <f t="shared" si="5"/>
        <v>75.729</v>
      </c>
      <c r="F18" s="68">
        <f t="shared" si="5"/>
        <v>-380.46675000000005</v>
      </c>
      <c r="G18" s="68">
        <f t="shared" si="5"/>
        <v>1963.44</v>
      </c>
      <c r="H18" s="68" t="e">
        <f t="shared" si="5"/>
        <v>#REF!</v>
      </c>
      <c r="I18" s="68" t="e">
        <f t="shared" si="5"/>
        <v>#REF!</v>
      </c>
      <c r="J18" s="68">
        <f t="shared" si="5"/>
        <v>1825.83</v>
      </c>
      <c r="K18" s="68" t="e">
        <f t="shared" si="5"/>
        <v>#REF!</v>
      </c>
      <c r="L18" s="68" t="e">
        <f t="shared" si="5"/>
        <v>#REF!</v>
      </c>
      <c r="M18" s="162"/>
      <c r="N18" s="162"/>
    </row>
    <row r="19" spans="1:12" ht="15.75">
      <c r="A19" s="208" t="s">
        <v>320</v>
      </c>
      <c r="B19" s="209">
        <v>3</v>
      </c>
      <c r="C19" s="209">
        <v>4</v>
      </c>
      <c r="D19" s="207">
        <v>21</v>
      </c>
      <c r="E19" s="207">
        <f>'Приложение 6 (2)'!N68</f>
        <v>16.4</v>
      </c>
      <c r="F19" s="69">
        <f t="shared" si="3"/>
        <v>-4.600000000000001</v>
      </c>
      <c r="G19" s="71">
        <v>21</v>
      </c>
      <c r="H19" s="71">
        <f>'Приложение 6 (2)'!P68</f>
        <v>16.4</v>
      </c>
      <c r="I19" s="70">
        <f t="shared" si="1"/>
        <v>-4.600000000000001</v>
      </c>
      <c r="J19" s="71">
        <v>21</v>
      </c>
      <c r="K19" s="71">
        <f>'Приложение 6 (2)'!R68</f>
        <v>16.4</v>
      </c>
      <c r="L19" s="70">
        <f t="shared" si="2"/>
        <v>-4.600000000000001</v>
      </c>
    </row>
    <row r="20" spans="1:12" ht="31.5">
      <c r="A20" s="205" t="s">
        <v>196</v>
      </c>
      <c r="B20" s="206">
        <v>3</v>
      </c>
      <c r="C20" s="206">
        <v>9</v>
      </c>
      <c r="D20" s="207">
        <v>430.75131</v>
      </c>
      <c r="E20" s="207">
        <v>46.9</v>
      </c>
      <c r="F20" s="69">
        <f t="shared" si="3"/>
        <v>-383.85131</v>
      </c>
      <c r="G20" s="69">
        <v>488</v>
      </c>
      <c r="H20" s="69" t="e">
        <f>'Приложение 6 (2)'!#REF!</f>
        <v>#REF!</v>
      </c>
      <c r="I20" s="70" t="e">
        <f t="shared" si="1"/>
        <v>#REF!</v>
      </c>
      <c r="J20" s="69">
        <v>351.5</v>
      </c>
      <c r="K20" s="69" t="e">
        <f>'Приложение 6 (2)'!#REF!</f>
        <v>#REF!</v>
      </c>
      <c r="L20" s="70" t="e">
        <f t="shared" si="2"/>
        <v>#REF!</v>
      </c>
    </row>
    <row r="21" spans="1:12" ht="15.75">
      <c r="A21" s="205" t="s">
        <v>7</v>
      </c>
      <c r="B21" s="206">
        <v>3</v>
      </c>
      <c r="C21" s="206">
        <v>14</v>
      </c>
      <c r="D21" s="207">
        <v>4.44444</v>
      </c>
      <c r="E21" s="207">
        <f>'Приложение 6 (2)'!N85</f>
        <v>12.428999999999998</v>
      </c>
      <c r="F21" s="69">
        <f t="shared" si="3"/>
        <v>7.984559999999998</v>
      </c>
      <c r="G21" s="69">
        <v>1454.44</v>
      </c>
      <c r="H21" s="69">
        <f>'Приложение 6 (2)'!P85</f>
        <v>12.399999999999999</v>
      </c>
      <c r="I21" s="70">
        <f t="shared" si="1"/>
        <v>-1442.04</v>
      </c>
      <c r="J21" s="69">
        <v>1453.33</v>
      </c>
      <c r="K21" s="69">
        <f>'Приложение 6 (2)'!R85</f>
        <v>5.42</v>
      </c>
      <c r="L21" s="70">
        <f t="shared" si="2"/>
        <v>-1447.9099999999999</v>
      </c>
    </row>
    <row r="22" spans="1:12" ht="15.75">
      <c r="A22" s="200" t="s">
        <v>291</v>
      </c>
      <c r="B22" s="203">
        <v>4</v>
      </c>
      <c r="C22" s="203">
        <v>0</v>
      </c>
      <c r="D22" s="204" t="e">
        <f>D23+#REF!</f>
        <v>#REF!</v>
      </c>
      <c r="E22" s="204">
        <v>3529</v>
      </c>
      <c r="F22" s="68" t="e">
        <f>F23+#REF!</f>
        <v>#REF!</v>
      </c>
      <c r="G22" s="68" t="e">
        <f>G23+#REF!</f>
        <v>#REF!</v>
      </c>
      <c r="H22" s="68" t="e">
        <f>H23+#REF!</f>
        <v>#REF!</v>
      </c>
      <c r="I22" s="68" t="e">
        <f>I23+#REF!</f>
        <v>#REF!</v>
      </c>
      <c r="J22" s="68" t="e">
        <f>J23+#REF!</f>
        <v>#REF!</v>
      </c>
      <c r="K22" s="68" t="e">
        <f>K23+#REF!</f>
        <v>#REF!</v>
      </c>
      <c r="L22" s="68" t="e">
        <f>L23+#REF!</f>
        <v>#REF!</v>
      </c>
    </row>
    <row r="23" spans="1:12" ht="15.75">
      <c r="A23" s="205" t="s">
        <v>8</v>
      </c>
      <c r="B23" s="206">
        <v>4</v>
      </c>
      <c r="C23" s="206">
        <v>9</v>
      </c>
      <c r="D23" s="207">
        <v>1925</v>
      </c>
      <c r="E23" s="207">
        <f>'Приложение 6 (2)'!N96</f>
        <v>3529</v>
      </c>
      <c r="F23" s="69">
        <f t="shared" si="3"/>
        <v>1604</v>
      </c>
      <c r="G23" s="69">
        <v>2021</v>
      </c>
      <c r="H23" s="69">
        <f>'Приложение 6 (2)'!P96</f>
        <v>3693</v>
      </c>
      <c r="I23" s="70">
        <f t="shared" si="1"/>
        <v>1672</v>
      </c>
      <c r="J23" s="125">
        <v>2122</v>
      </c>
      <c r="K23" s="69">
        <f>'Приложение 6 (2)'!R96</f>
        <v>3878</v>
      </c>
      <c r="L23" s="70">
        <f t="shared" si="2"/>
        <v>1756</v>
      </c>
    </row>
    <row r="24" spans="1:12" ht="15.75">
      <c r="A24" s="200" t="s">
        <v>290</v>
      </c>
      <c r="B24" s="203">
        <v>5</v>
      </c>
      <c r="C24" s="203">
        <v>0</v>
      </c>
      <c r="D24" s="204">
        <f aca="true" t="shared" si="6" ref="D24:L24">SUM(D25:D27)</f>
        <v>11879.07927</v>
      </c>
      <c r="E24" s="204">
        <f t="shared" si="6"/>
        <v>5093.200000000001</v>
      </c>
      <c r="F24" s="68">
        <f t="shared" si="6"/>
        <v>-6785.879269999999</v>
      </c>
      <c r="G24" s="68">
        <f t="shared" si="6"/>
        <v>12162.9</v>
      </c>
      <c r="H24" s="68">
        <f t="shared" si="6"/>
        <v>7992.2</v>
      </c>
      <c r="I24" s="68">
        <f t="shared" si="6"/>
        <v>-4170.7</v>
      </c>
      <c r="J24" s="68">
        <f t="shared" si="6"/>
        <v>2500.96</v>
      </c>
      <c r="K24" s="68">
        <f t="shared" si="6"/>
        <v>5507.599999999999</v>
      </c>
      <c r="L24" s="68">
        <f t="shared" si="6"/>
        <v>3006.64</v>
      </c>
    </row>
    <row r="25" spans="1:12" ht="15.75">
      <c r="A25" s="205" t="s">
        <v>289</v>
      </c>
      <c r="B25" s="206">
        <v>5</v>
      </c>
      <c r="C25" s="206">
        <v>1</v>
      </c>
      <c r="D25" s="207">
        <v>1522.00654</v>
      </c>
      <c r="E25" s="207">
        <f>'Приложение 6 (2)'!N108</f>
        <v>402.1</v>
      </c>
      <c r="F25" s="69">
        <f t="shared" si="3"/>
        <v>-1119.90654</v>
      </c>
      <c r="G25" s="69">
        <v>1595.1</v>
      </c>
      <c r="H25" s="69">
        <f>'Приложение 6 (2)'!P108</f>
        <v>511.5</v>
      </c>
      <c r="I25" s="70">
        <f t="shared" si="1"/>
        <v>-1083.6</v>
      </c>
      <c r="J25" s="125">
        <v>1671.86</v>
      </c>
      <c r="K25" s="69">
        <f>'Приложение 6 (2)'!R108</f>
        <v>532.7</v>
      </c>
      <c r="L25" s="70">
        <f t="shared" si="2"/>
        <v>-1139.1599999999999</v>
      </c>
    </row>
    <row r="26" spans="1:12" ht="15.75">
      <c r="A26" s="205" t="s">
        <v>288</v>
      </c>
      <c r="B26" s="206">
        <v>5</v>
      </c>
      <c r="C26" s="206">
        <v>2</v>
      </c>
      <c r="D26" s="207">
        <v>9633</v>
      </c>
      <c r="E26" s="207">
        <v>4391.1</v>
      </c>
      <c r="F26" s="69">
        <f t="shared" si="3"/>
        <v>-5241.9</v>
      </c>
      <c r="G26" s="69">
        <v>9633</v>
      </c>
      <c r="H26" s="69">
        <f>'Приложение 6 (2)'!P118</f>
        <v>6865.7</v>
      </c>
      <c r="I26" s="70">
        <f t="shared" si="1"/>
        <v>-2767.3</v>
      </c>
      <c r="J26" s="69">
        <v>0</v>
      </c>
      <c r="K26" s="69">
        <f>'Приложение 6 (2)'!R118</f>
        <v>4674.9</v>
      </c>
      <c r="L26" s="70">
        <f t="shared" si="2"/>
        <v>4674.9</v>
      </c>
    </row>
    <row r="27" spans="1:12" ht="15.75">
      <c r="A27" s="205" t="s">
        <v>287</v>
      </c>
      <c r="B27" s="206">
        <v>5</v>
      </c>
      <c r="C27" s="206">
        <v>3</v>
      </c>
      <c r="D27" s="207">
        <v>724.07273</v>
      </c>
      <c r="E27" s="207">
        <f>'Приложение 6 (2)'!N123</f>
        <v>300</v>
      </c>
      <c r="F27" s="69">
        <f t="shared" si="3"/>
        <v>-424.07273</v>
      </c>
      <c r="G27" s="69">
        <v>934.8</v>
      </c>
      <c r="H27" s="69">
        <f>'Приложение 6 (2)'!P123</f>
        <v>615</v>
      </c>
      <c r="I27" s="70">
        <f t="shared" si="1"/>
        <v>-319.79999999999995</v>
      </c>
      <c r="J27" s="69">
        <v>829.1</v>
      </c>
      <c r="K27" s="69">
        <f>'Приложение 6 (2)'!R123</f>
        <v>300</v>
      </c>
      <c r="L27" s="70">
        <f t="shared" si="2"/>
        <v>-529.1</v>
      </c>
    </row>
    <row r="28" spans="1:12" ht="15.75">
      <c r="A28" s="200" t="s">
        <v>195</v>
      </c>
      <c r="B28" s="203">
        <v>8</v>
      </c>
      <c r="C28" s="203">
        <v>0</v>
      </c>
      <c r="D28" s="204">
        <f aca="true" t="shared" si="7" ref="D28:L28">SUM(D29:D30)</f>
        <v>5712.90443</v>
      </c>
      <c r="E28" s="204">
        <f t="shared" si="7"/>
        <v>4688.566360000001</v>
      </c>
      <c r="F28" s="68">
        <f t="shared" si="7"/>
        <v>-1024.3380699999996</v>
      </c>
      <c r="G28" s="68">
        <f t="shared" si="7"/>
        <v>5846.09</v>
      </c>
      <c r="H28" s="68">
        <f t="shared" si="7"/>
        <v>3160.30483</v>
      </c>
      <c r="I28" s="68">
        <f t="shared" si="7"/>
        <v>-2685.78517</v>
      </c>
      <c r="J28" s="68">
        <f t="shared" si="7"/>
        <v>6123.49</v>
      </c>
      <c r="K28" s="68">
        <f t="shared" si="7"/>
        <v>2833.880317</v>
      </c>
      <c r="L28" s="68">
        <f t="shared" si="7"/>
        <v>-3289.6096829999997</v>
      </c>
    </row>
    <row r="29" spans="1:12" ht="15.75">
      <c r="A29" s="205" t="s">
        <v>286</v>
      </c>
      <c r="B29" s="206">
        <v>8</v>
      </c>
      <c r="C29" s="206">
        <v>1</v>
      </c>
      <c r="D29" s="207">
        <v>5286.14819</v>
      </c>
      <c r="E29" s="207">
        <f>'Приложение 6 (2)'!N130</f>
        <v>4244.96636</v>
      </c>
      <c r="F29" s="69">
        <f t="shared" si="3"/>
        <v>-1041.1818299999995</v>
      </c>
      <c r="G29" s="69">
        <v>5398</v>
      </c>
      <c r="H29" s="69">
        <f>'Приложение 6 (2)'!P130</f>
        <v>3160.30483</v>
      </c>
      <c r="I29" s="70">
        <f t="shared" si="1"/>
        <v>-2237.69517</v>
      </c>
      <c r="J29" s="69">
        <v>5653</v>
      </c>
      <c r="K29" s="69">
        <f>'Приложение 6 (2)'!R130</f>
        <v>2833.880317</v>
      </c>
      <c r="L29" s="70">
        <f t="shared" si="2"/>
        <v>-2819.119683</v>
      </c>
    </row>
    <row r="30" spans="1:12" ht="15.75">
      <c r="A30" s="205" t="s">
        <v>285</v>
      </c>
      <c r="B30" s="206">
        <v>8</v>
      </c>
      <c r="C30" s="206">
        <v>2</v>
      </c>
      <c r="D30" s="207">
        <v>426.75624</v>
      </c>
      <c r="E30" s="207">
        <v>443.6</v>
      </c>
      <c r="F30" s="69">
        <f t="shared" si="3"/>
        <v>16.84376000000003</v>
      </c>
      <c r="G30" s="69">
        <v>448.09</v>
      </c>
      <c r="H30" s="69">
        <f>'Приложение 6 (2)'!P141</f>
        <v>0</v>
      </c>
      <c r="I30" s="70">
        <f t="shared" si="1"/>
        <v>-448.09</v>
      </c>
      <c r="J30" s="69">
        <v>470.49</v>
      </c>
      <c r="K30" s="69">
        <f>'Приложение 6 (2)'!R141</f>
        <v>0</v>
      </c>
      <c r="L30" s="70">
        <f t="shared" si="2"/>
        <v>-470.49</v>
      </c>
    </row>
    <row r="31" spans="1:12" ht="15.75">
      <c r="A31" s="200" t="s">
        <v>131</v>
      </c>
      <c r="B31" s="203">
        <v>10</v>
      </c>
      <c r="C31" s="203">
        <v>0</v>
      </c>
      <c r="D31" s="204">
        <f aca="true" t="shared" si="8" ref="D31:L33">D32</f>
        <v>1477.28983</v>
      </c>
      <c r="E31" s="204">
        <f t="shared" si="8"/>
        <v>60</v>
      </c>
      <c r="F31" s="68">
        <f t="shared" si="8"/>
        <v>-1417.28983</v>
      </c>
      <c r="G31" s="68">
        <f t="shared" si="8"/>
        <v>1525.6</v>
      </c>
      <c r="H31" s="68">
        <f t="shared" si="8"/>
        <v>50</v>
      </c>
      <c r="I31" s="68">
        <f t="shared" si="8"/>
        <v>-1475.6</v>
      </c>
      <c r="J31" s="68">
        <f t="shared" si="8"/>
        <v>1528</v>
      </c>
      <c r="K31" s="68">
        <f t="shared" si="8"/>
        <v>50</v>
      </c>
      <c r="L31" s="68">
        <f t="shared" si="8"/>
        <v>-1478</v>
      </c>
    </row>
    <row r="32" spans="1:12" ht="15.75">
      <c r="A32" s="205" t="s">
        <v>133</v>
      </c>
      <c r="B32" s="206">
        <v>10</v>
      </c>
      <c r="C32" s="206">
        <v>1</v>
      </c>
      <c r="D32" s="207">
        <v>1477.28983</v>
      </c>
      <c r="E32" s="207">
        <v>60</v>
      </c>
      <c r="F32" s="69">
        <f>E32-D32</f>
        <v>-1417.28983</v>
      </c>
      <c r="G32" s="69">
        <v>1525.6</v>
      </c>
      <c r="H32" s="69">
        <f>'Приложение 6 (2)'!P149</f>
        <v>50</v>
      </c>
      <c r="I32" s="70">
        <f>H32-G32</f>
        <v>-1475.6</v>
      </c>
      <c r="J32" s="69">
        <v>1528</v>
      </c>
      <c r="K32" s="69">
        <f>'Приложение 6 (2)'!R149</f>
        <v>50</v>
      </c>
      <c r="L32" s="70">
        <f>K32-J32</f>
        <v>-1478</v>
      </c>
    </row>
    <row r="33" spans="1:12" ht="15.75">
      <c r="A33" s="200" t="s">
        <v>9</v>
      </c>
      <c r="B33" s="203">
        <v>11</v>
      </c>
      <c r="C33" s="203">
        <v>0</v>
      </c>
      <c r="D33" s="204">
        <f t="shared" si="8"/>
        <v>1477.28983</v>
      </c>
      <c r="E33" s="204">
        <f t="shared" si="8"/>
        <v>2588.8</v>
      </c>
      <c r="F33" s="68">
        <f t="shared" si="8"/>
        <v>1111.5101700000002</v>
      </c>
      <c r="G33" s="68">
        <f t="shared" si="8"/>
        <v>1525.6</v>
      </c>
      <c r="H33" s="68">
        <f t="shared" si="8"/>
        <v>60</v>
      </c>
      <c r="I33" s="68">
        <f t="shared" si="8"/>
        <v>-1465.6</v>
      </c>
      <c r="J33" s="68">
        <f t="shared" si="8"/>
        <v>1528</v>
      </c>
      <c r="K33" s="68">
        <f t="shared" si="8"/>
        <v>60</v>
      </c>
      <c r="L33" s="68">
        <f t="shared" si="8"/>
        <v>-1468</v>
      </c>
    </row>
    <row r="34" spans="1:12" ht="15.75">
      <c r="A34" s="205" t="s">
        <v>283</v>
      </c>
      <c r="B34" s="206">
        <v>11</v>
      </c>
      <c r="C34" s="206">
        <v>1</v>
      </c>
      <c r="D34" s="207">
        <v>1477.28983</v>
      </c>
      <c r="E34" s="207">
        <v>2588.8</v>
      </c>
      <c r="F34" s="69">
        <f t="shared" si="3"/>
        <v>1111.5101700000002</v>
      </c>
      <c r="G34" s="69">
        <v>1525.6</v>
      </c>
      <c r="H34" s="69">
        <f>'Приложение 6 (2)'!P155</f>
        <v>60</v>
      </c>
      <c r="I34" s="70">
        <f t="shared" si="1"/>
        <v>-1465.6</v>
      </c>
      <c r="J34" s="69">
        <v>1528</v>
      </c>
      <c r="K34" s="69">
        <f>'Приложение 6 (2)'!R155</f>
        <v>60</v>
      </c>
      <c r="L34" s="70">
        <f t="shared" si="2"/>
        <v>-1468</v>
      </c>
    </row>
  </sheetData>
  <sheetProtection/>
  <mergeCells count="1">
    <mergeCell ref="A6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176"/>
  <sheetViews>
    <sheetView zoomScale="110" zoomScaleNormal="110" zoomScalePageLayoutView="0" workbookViewId="0" topLeftCell="A1">
      <selection activeCell="V11" sqref="V11"/>
    </sheetView>
  </sheetViews>
  <sheetFormatPr defaultColWidth="9.140625" defaultRowHeight="15"/>
  <cols>
    <col min="1" max="3" width="9.140625" style="5" customWidth="1"/>
    <col min="4" max="4" width="15.00390625" style="5" customWidth="1"/>
    <col min="5" max="5" width="2.00390625" style="5" hidden="1" customWidth="1"/>
    <col min="6" max="6" width="9.140625" style="1" hidden="1" customWidth="1"/>
    <col min="7" max="7" width="0.5625" style="1" hidden="1" customWidth="1"/>
    <col min="8" max="8" width="9.140625" style="1" hidden="1" customWidth="1"/>
    <col min="9" max="9" width="6.140625" style="1" hidden="1" customWidth="1"/>
    <col min="10" max="10" width="4.140625" style="1" customWidth="1"/>
    <col min="11" max="11" width="6.57421875" style="1" customWidth="1"/>
    <col min="12" max="12" width="11.140625" style="1" customWidth="1"/>
    <col min="13" max="13" width="7.8515625" style="1" customWidth="1"/>
    <col min="14" max="14" width="10.7109375" style="1" customWidth="1"/>
    <col min="15" max="15" width="12.28125" style="1" bestFit="1" customWidth="1"/>
    <col min="16" max="16" width="11.421875" style="1" hidden="1" customWidth="1"/>
    <col min="17" max="17" width="10.28125" style="1" hidden="1" customWidth="1"/>
    <col min="18" max="18" width="10.7109375" style="6" hidden="1" customWidth="1"/>
    <col min="19" max="19" width="11.00390625" style="1" hidden="1" customWidth="1"/>
    <col min="20" max="21" width="11.00390625" style="8" customWidth="1"/>
    <col min="22" max="16384" width="9.140625" style="1" customWidth="1"/>
  </cols>
  <sheetData>
    <row r="1" spans="1:21" s="4" customFormat="1" ht="15.75">
      <c r="A1" s="5"/>
      <c r="B1" s="5"/>
      <c r="C1" s="5"/>
      <c r="D1" s="5"/>
      <c r="E1" s="5"/>
      <c r="F1" s="1"/>
      <c r="G1" s="1"/>
      <c r="H1" s="1"/>
      <c r="I1" s="1"/>
      <c r="J1" s="1"/>
      <c r="K1" s="1"/>
      <c r="L1" s="3"/>
      <c r="N1" s="10"/>
      <c r="O1" s="76" t="s">
        <v>16</v>
      </c>
      <c r="P1" s="10"/>
      <c r="Q1" s="10"/>
      <c r="R1" s="10"/>
      <c r="S1" s="76" t="s">
        <v>16</v>
      </c>
      <c r="T1" s="135"/>
      <c r="U1" s="135"/>
    </row>
    <row r="2" spans="1:21" s="4" customFormat="1" ht="15.75">
      <c r="A2" s="210"/>
      <c r="B2" s="210"/>
      <c r="C2" s="210"/>
      <c r="D2" s="210"/>
      <c r="E2" s="210"/>
      <c r="F2" s="162"/>
      <c r="G2" s="162"/>
      <c r="H2" s="162"/>
      <c r="I2" s="162"/>
      <c r="J2" s="162"/>
      <c r="K2" s="162"/>
      <c r="L2" s="211"/>
      <c r="M2" s="212"/>
      <c r="N2" s="213"/>
      <c r="O2" s="214" t="s">
        <v>43</v>
      </c>
      <c r="P2" s="213"/>
      <c r="Q2" s="213"/>
      <c r="R2" s="213"/>
      <c r="S2" s="214" t="s">
        <v>43</v>
      </c>
      <c r="T2" s="135"/>
      <c r="U2" s="135"/>
    </row>
    <row r="3" spans="1:21" s="4" customFormat="1" ht="15.75">
      <c r="A3" s="210"/>
      <c r="B3" s="210"/>
      <c r="C3" s="210"/>
      <c r="D3" s="210"/>
      <c r="E3" s="210"/>
      <c r="F3" s="162"/>
      <c r="G3" s="162"/>
      <c r="H3" s="162"/>
      <c r="I3" s="162"/>
      <c r="J3" s="162"/>
      <c r="K3" s="162"/>
      <c r="L3" s="211"/>
      <c r="M3" s="212"/>
      <c r="N3" s="213"/>
      <c r="O3" s="214" t="s">
        <v>44</v>
      </c>
      <c r="P3" s="213"/>
      <c r="Q3" s="213"/>
      <c r="R3" s="213"/>
      <c r="S3" s="214" t="s">
        <v>44</v>
      </c>
      <c r="T3" s="135"/>
      <c r="U3" s="135"/>
    </row>
    <row r="4" spans="1:21" s="4" customFormat="1" ht="15.75">
      <c r="A4" s="210"/>
      <c r="B4" s="210"/>
      <c r="C4" s="210"/>
      <c r="D4" s="210"/>
      <c r="E4" s="210"/>
      <c r="F4" s="162"/>
      <c r="G4" s="162"/>
      <c r="H4" s="162"/>
      <c r="I4" s="162"/>
      <c r="J4" s="162"/>
      <c r="K4" s="162"/>
      <c r="L4" s="211"/>
      <c r="M4" s="212"/>
      <c r="N4" s="213"/>
      <c r="O4" s="214" t="s">
        <v>318</v>
      </c>
      <c r="P4" s="213"/>
      <c r="Q4" s="213"/>
      <c r="R4" s="213"/>
      <c r="S4" s="214" t="s">
        <v>318</v>
      </c>
      <c r="T4" s="135"/>
      <c r="U4" s="135"/>
    </row>
    <row r="5" spans="1:21" s="4" customFormat="1" ht="15.75">
      <c r="A5" s="210"/>
      <c r="B5" s="210"/>
      <c r="C5" s="210"/>
      <c r="D5" s="210"/>
      <c r="E5" s="210"/>
      <c r="F5" s="162"/>
      <c r="G5" s="162"/>
      <c r="H5" s="162"/>
      <c r="I5" s="162"/>
      <c r="J5" s="162"/>
      <c r="K5" s="211"/>
      <c r="L5" s="162"/>
      <c r="M5" s="212"/>
      <c r="N5" s="215"/>
      <c r="O5" s="214" t="s">
        <v>467</v>
      </c>
      <c r="P5" s="212"/>
      <c r="Q5" s="212"/>
      <c r="R5" s="216"/>
      <c r="S5" s="214" t="s">
        <v>282</v>
      </c>
      <c r="T5" s="135"/>
      <c r="U5" s="135"/>
    </row>
    <row r="6" spans="1:21" s="4" customFormat="1" ht="18" customHeight="1">
      <c r="A6" s="326" t="s">
        <v>384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136"/>
      <c r="U6" s="136"/>
    </row>
    <row r="7" spans="1:21" s="4" customFormat="1" ht="48.75" customHeight="1">
      <c r="A7" s="326"/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136"/>
      <c r="U7" s="136"/>
    </row>
    <row r="8" spans="1:21" s="4" customFormat="1" ht="19.5" customHeight="1">
      <c r="A8" s="217"/>
      <c r="B8" s="217"/>
      <c r="C8" s="217"/>
      <c r="D8" s="217"/>
      <c r="E8" s="217"/>
      <c r="F8" s="218"/>
      <c r="G8" s="218"/>
      <c r="H8" s="218"/>
      <c r="I8" s="219"/>
      <c r="J8" s="219"/>
      <c r="K8" s="219"/>
      <c r="L8" s="220"/>
      <c r="M8" s="212"/>
      <c r="N8" s="212"/>
      <c r="O8" s="221"/>
      <c r="P8" s="215"/>
      <c r="Q8" s="212"/>
      <c r="R8" s="222"/>
      <c r="S8" s="223" t="s">
        <v>130</v>
      </c>
      <c r="T8" s="137"/>
      <c r="U8" s="137"/>
    </row>
    <row r="9" spans="1:21" ht="15" customHeight="1">
      <c r="A9" s="327" t="s">
        <v>311</v>
      </c>
      <c r="B9" s="327"/>
      <c r="C9" s="327"/>
      <c r="D9" s="327"/>
      <c r="E9" s="327"/>
      <c r="F9" s="327"/>
      <c r="G9" s="327"/>
      <c r="H9" s="224"/>
      <c r="I9" s="224" t="s">
        <v>310</v>
      </c>
      <c r="J9" s="327" t="s">
        <v>310</v>
      </c>
      <c r="K9" s="327"/>
      <c r="L9" s="327"/>
      <c r="M9" s="327"/>
      <c r="N9" s="324" t="s">
        <v>50</v>
      </c>
      <c r="O9" s="324" t="s">
        <v>258</v>
      </c>
      <c r="P9" s="324"/>
      <c r="Q9" s="324"/>
      <c r="R9" s="324"/>
      <c r="S9" s="324"/>
      <c r="T9" s="138"/>
      <c r="U9" s="138"/>
    </row>
    <row r="10" spans="1:21" ht="15" customHeight="1">
      <c r="A10" s="327"/>
      <c r="B10" s="327"/>
      <c r="C10" s="327"/>
      <c r="D10" s="327"/>
      <c r="E10" s="327"/>
      <c r="F10" s="327"/>
      <c r="G10" s="327"/>
      <c r="H10" s="224"/>
      <c r="I10" s="224" t="s">
        <v>309</v>
      </c>
      <c r="J10" s="327" t="s">
        <v>309</v>
      </c>
      <c r="K10" s="327"/>
      <c r="L10" s="327"/>
      <c r="M10" s="327"/>
      <c r="N10" s="324"/>
      <c r="O10" s="324"/>
      <c r="P10" s="324" t="s">
        <v>188</v>
      </c>
      <c r="Q10" s="324" t="s">
        <v>258</v>
      </c>
      <c r="R10" s="324" t="s">
        <v>277</v>
      </c>
      <c r="S10" s="324" t="s">
        <v>258</v>
      </c>
      <c r="T10" s="138"/>
      <c r="U10" s="138"/>
    </row>
    <row r="11" spans="1:21" ht="76.5" customHeight="1" thickBot="1">
      <c r="A11" s="327"/>
      <c r="B11" s="327"/>
      <c r="C11" s="327"/>
      <c r="D11" s="327"/>
      <c r="E11" s="327"/>
      <c r="F11" s="327"/>
      <c r="G11" s="327"/>
      <c r="H11" s="224"/>
      <c r="I11" s="225" t="s">
        <v>308</v>
      </c>
      <c r="J11" s="225" t="s">
        <v>307</v>
      </c>
      <c r="K11" s="225" t="s">
        <v>306</v>
      </c>
      <c r="L11" s="226" t="s">
        <v>305</v>
      </c>
      <c r="M11" s="225" t="s">
        <v>304</v>
      </c>
      <c r="N11" s="324"/>
      <c r="O11" s="324"/>
      <c r="P11" s="324"/>
      <c r="Q11" s="324"/>
      <c r="R11" s="324"/>
      <c r="S11" s="324"/>
      <c r="T11" s="138"/>
      <c r="U11" s="138"/>
    </row>
    <row r="12" spans="1:21" ht="15.75" thickBot="1">
      <c r="A12" s="325">
        <v>1</v>
      </c>
      <c r="B12" s="325"/>
      <c r="C12" s="325"/>
      <c r="D12" s="325"/>
      <c r="E12" s="227"/>
      <c r="F12" s="228"/>
      <c r="G12" s="228"/>
      <c r="H12" s="228"/>
      <c r="I12" s="229">
        <v>2</v>
      </c>
      <c r="J12" s="229">
        <v>3</v>
      </c>
      <c r="K12" s="229">
        <v>4</v>
      </c>
      <c r="L12" s="230">
        <v>5</v>
      </c>
      <c r="M12" s="229">
        <v>6</v>
      </c>
      <c r="N12" s="229"/>
      <c r="O12" s="229">
        <v>10</v>
      </c>
      <c r="P12" s="229"/>
      <c r="Q12" s="229">
        <v>12</v>
      </c>
      <c r="R12" s="229"/>
      <c r="S12" s="231">
        <v>14</v>
      </c>
      <c r="T12" s="139"/>
      <c r="U12" s="139"/>
    </row>
    <row r="13" spans="1:21" ht="25.5" customHeight="1">
      <c r="A13" s="303" t="s">
        <v>303</v>
      </c>
      <c r="B13" s="303"/>
      <c r="C13" s="303"/>
      <c r="D13" s="303"/>
      <c r="E13" s="303"/>
      <c r="F13" s="303"/>
      <c r="G13" s="303"/>
      <c r="H13" s="303"/>
      <c r="I13" s="179">
        <v>653</v>
      </c>
      <c r="J13" s="180">
        <v>0</v>
      </c>
      <c r="K13" s="180">
        <v>0</v>
      </c>
      <c r="L13" s="232" t="s">
        <v>385</v>
      </c>
      <c r="M13" s="181">
        <v>0</v>
      </c>
      <c r="N13" s="233">
        <v>27271.6</v>
      </c>
      <c r="O13" s="233">
        <v>172.4</v>
      </c>
      <c r="P13" s="234" t="e">
        <f>P14+P59+P67+P95+P106+P128+P151+P157</f>
        <v>#REF!</v>
      </c>
      <c r="Q13" s="234" t="e">
        <f>Q14+Q59+Q67+Q95+Q106+Q128+Q151+Q157</f>
        <v>#REF!</v>
      </c>
      <c r="R13" s="234" t="e">
        <f>R14+R59+R67+R95+R106+R128+R151+R157</f>
        <v>#REF!</v>
      </c>
      <c r="S13" s="234" t="e">
        <f>S14+S59+S67+S95+S106+S128+S151+S157</f>
        <v>#REF!</v>
      </c>
      <c r="T13" s="134"/>
      <c r="U13" s="134"/>
    </row>
    <row r="14" spans="1:21" ht="17.25" customHeight="1">
      <c r="A14" s="303" t="s">
        <v>302</v>
      </c>
      <c r="B14" s="303"/>
      <c r="C14" s="303"/>
      <c r="D14" s="303"/>
      <c r="E14" s="303"/>
      <c r="F14" s="303"/>
      <c r="G14" s="303"/>
      <c r="H14" s="303"/>
      <c r="I14" s="179">
        <v>653</v>
      </c>
      <c r="J14" s="180">
        <v>1</v>
      </c>
      <c r="K14" s="180">
        <v>0</v>
      </c>
      <c r="L14" s="172" t="s">
        <v>385</v>
      </c>
      <c r="M14" s="181">
        <v>0</v>
      </c>
      <c r="N14" s="233">
        <f aca="true" t="shared" si="0" ref="N14:S14">N15+N23+N29+N40+N46</f>
        <v>11080.3</v>
      </c>
      <c r="O14" s="233">
        <f t="shared" si="0"/>
        <v>0</v>
      </c>
      <c r="P14" s="234" t="e">
        <f t="shared" si="0"/>
        <v>#REF!</v>
      </c>
      <c r="Q14" s="234" t="e">
        <f t="shared" si="0"/>
        <v>#REF!</v>
      </c>
      <c r="R14" s="234" t="e">
        <f t="shared" si="0"/>
        <v>#REF!</v>
      </c>
      <c r="S14" s="234" t="e">
        <f t="shared" si="0"/>
        <v>#REF!</v>
      </c>
      <c r="T14" s="142" t="s">
        <v>192</v>
      </c>
      <c r="U14" s="142"/>
    </row>
    <row r="15" spans="1:21" ht="41.25" customHeight="1">
      <c r="A15" s="303" t="s">
        <v>301</v>
      </c>
      <c r="B15" s="303"/>
      <c r="C15" s="303"/>
      <c r="D15" s="303"/>
      <c r="E15" s="303"/>
      <c r="F15" s="303"/>
      <c r="G15" s="303"/>
      <c r="H15" s="303"/>
      <c r="I15" s="179">
        <v>653</v>
      </c>
      <c r="J15" s="180">
        <v>1</v>
      </c>
      <c r="K15" s="180">
        <v>2</v>
      </c>
      <c r="L15" s="172" t="s">
        <v>386</v>
      </c>
      <c r="M15" s="181">
        <v>0</v>
      </c>
      <c r="N15" s="233">
        <f aca="true" t="shared" si="1" ref="N15:S15">N17</f>
        <v>1304.4</v>
      </c>
      <c r="O15" s="233">
        <f t="shared" si="1"/>
        <v>0</v>
      </c>
      <c r="P15" s="234">
        <f t="shared" si="1"/>
        <v>1304.4011</v>
      </c>
      <c r="Q15" s="234">
        <f t="shared" si="1"/>
        <v>0</v>
      </c>
      <c r="R15" s="234">
        <f t="shared" si="1"/>
        <v>1304.4011</v>
      </c>
      <c r="S15" s="234">
        <f t="shared" si="1"/>
        <v>0</v>
      </c>
      <c r="T15" s="142" t="s">
        <v>192</v>
      </c>
      <c r="U15" s="142"/>
    </row>
    <row r="16" spans="1:21" ht="48.75" customHeight="1">
      <c r="A16" s="311" t="s">
        <v>197</v>
      </c>
      <c r="B16" s="312"/>
      <c r="C16" s="312"/>
      <c r="D16" s="313"/>
      <c r="E16" s="178"/>
      <c r="F16" s="178"/>
      <c r="G16" s="178"/>
      <c r="H16" s="178"/>
      <c r="I16" s="179">
        <v>653</v>
      </c>
      <c r="J16" s="180">
        <v>1</v>
      </c>
      <c r="K16" s="180">
        <v>2</v>
      </c>
      <c r="L16" s="172" t="s">
        <v>386</v>
      </c>
      <c r="M16" s="181">
        <v>0</v>
      </c>
      <c r="N16" s="233">
        <f aca="true" t="shared" si="2" ref="N16:S17">N17</f>
        <v>1304.4</v>
      </c>
      <c r="O16" s="233">
        <f t="shared" si="2"/>
        <v>0</v>
      </c>
      <c r="P16" s="234">
        <f t="shared" si="2"/>
        <v>1304.4011</v>
      </c>
      <c r="Q16" s="234">
        <f t="shared" si="2"/>
        <v>0</v>
      </c>
      <c r="R16" s="234">
        <f t="shared" si="2"/>
        <v>1304.4011</v>
      </c>
      <c r="S16" s="234">
        <f t="shared" si="2"/>
        <v>0</v>
      </c>
      <c r="T16" s="142" t="s">
        <v>192</v>
      </c>
      <c r="U16" s="142"/>
    </row>
    <row r="17" spans="1:21" ht="54.75" customHeight="1">
      <c r="A17" s="309" t="s">
        <v>243</v>
      </c>
      <c r="B17" s="309"/>
      <c r="C17" s="309"/>
      <c r="D17" s="309"/>
      <c r="E17" s="309"/>
      <c r="F17" s="309"/>
      <c r="G17" s="309"/>
      <c r="H17" s="309"/>
      <c r="I17" s="167">
        <v>653</v>
      </c>
      <c r="J17" s="169">
        <v>1</v>
      </c>
      <c r="K17" s="169">
        <v>2</v>
      </c>
      <c r="L17" s="170" t="s">
        <v>406</v>
      </c>
      <c r="M17" s="171">
        <v>0</v>
      </c>
      <c r="N17" s="173">
        <f>N18</f>
        <v>1304.4</v>
      </c>
      <c r="O17" s="173">
        <f t="shared" si="2"/>
        <v>0</v>
      </c>
      <c r="P17" s="168">
        <f t="shared" si="2"/>
        <v>1304.4011</v>
      </c>
      <c r="Q17" s="168">
        <f t="shared" si="2"/>
        <v>0</v>
      </c>
      <c r="R17" s="168">
        <f t="shared" si="2"/>
        <v>1304.4011</v>
      </c>
      <c r="S17" s="168">
        <f t="shared" si="2"/>
        <v>0</v>
      </c>
      <c r="T17" s="142" t="s">
        <v>192</v>
      </c>
      <c r="U17" s="142"/>
    </row>
    <row r="18" spans="1:21" s="8" customFormat="1" ht="62.25" customHeight="1">
      <c r="A18" s="309" t="s">
        <v>200</v>
      </c>
      <c r="B18" s="309"/>
      <c r="C18" s="309"/>
      <c r="D18" s="309"/>
      <c r="E18" s="309"/>
      <c r="F18" s="309"/>
      <c r="G18" s="309"/>
      <c r="H18" s="309"/>
      <c r="I18" s="167"/>
      <c r="J18" s="169">
        <v>1</v>
      </c>
      <c r="K18" s="169">
        <v>2</v>
      </c>
      <c r="L18" s="170" t="s">
        <v>406</v>
      </c>
      <c r="M18" s="171">
        <v>100</v>
      </c>
      <c r="N18" s="173">
        <f>N19</f>
        <v>1304.4</v>
      </c>
      <c r="O18" s="173">
        <f>O19</f>
        <v>0</v>
      </c>
      <c r="P18" s="168">
        <f>P19</f>
        <v>1304.4011</v>
      </c>
      <c r="Q18" s="168">
        <f>Q19</f>
        <v>0</v>
      </c>
      <c r="R18" s="168">
        <f>R19</f>
        <v>1304.4011</v>
      </c>
      <c r="S18" s="168">
        <f>S19</f>
        <v>0</v>
      </c>
      <c r="T18" s="142" t="s">
        <v>192</v>
      </c>
      <c r="U18" s="142"/>
    </row>
    <row r="19" spans="1:21" s="8" customFormat="1" ht="28.5" customHeight="1">
      <c r="A19" s="309" t="s">
        <v>201</v>
      </c>
      <c r="B19" s="309"/>
      <c r="C19" s="309"/>
      <c r="D19" s="309"/>
      <c r="E19" s="309"/>
      <c r="F19" s="309"/>
      <c r="G19" s="309"/>
      <c r="H19" s="309"/>
      <c r="I19" s="167"/>
      <c r="J19" s="169">
        <v>1</v>
      </c>
      <c r="K19" s="169">
        <v>2</v>
      </c>
      <c r="L19" s="170" t="s">
        <v>406</v>
      </c>
      <c r="M19" s="171">
        <v>120</v>
      </c>
      <c r="N19" s="173">
        <f>SUM(N20+N21+N22)</f>
        <v>1304.4</v>
      </c>
      <c r="O19" s="173">
        <f>SUM(O20+O21)</f>
        <v>0</v>
      </c>
      <c r="P19" s="168">
        <f>SUM(P20+P21)</f>
        <v>1304.4011</v>
      </c>
      <c r="Q19" s="168">
        <f>SUM(Q20+Q21)</f>
        <v>0</v>
      </c>
      <c r="R19" s="168">
        <f>SUM(R20+R21)</f>
        <v>1304.4011</v>
      </c>
      <c r="S19" s="168">
        <f>SUM(S20+S21)</f>
        <v>0</v>
      </c>
      <c r="T19" s="142" t="s">
        <v>192</v>
      </c>
      <c r="U19" s="142"/>
    </row>
    <row r="20" spans="1:21" ht="37.5" customHeight="1">
      <c r="A20" s="309" t="s">
        <v>387</v>
      </c>
      <c r="B20" s="309"/>
      <c r="C20" s="309"/>
      <c r="D20" s="309"/>
      <c r="E20" s="309"/>
      <c r="F20" s="309"/>
      <c r="G20" s="309"/>
      <c r="H20" s="309"/>
      <c r="I20" s="167">
        <v>653</v>
      </c>
      <c r="J20" s="169">
        <v>1</v>
      </c>
      <c r="K20" s="169">
        <v>2</v>
      </c>
      <c r="L20" s="170" t="s">
        <v>406</v>
      </c>
      <c r="M20" s="171">
        <v>121</v>
      </c>
      <c r="N20" s="173">
        <v>963.5</v>
      </c>
      <c r="O20" s="173">
        <v>0</v>
      </c>
      <c r="P20" s="168">
        <v>1254.4011</v>
      </c>
      <c r="Q20" s="168">
        <v>0</v>
      </c>
      <c r="R20" s="168">
        <v>1254.4011</v>
      </c>
      <c r="S20" s="168">
        <v>0</v>
      </c>
      <c r="T20" s="142" t="s">
        <v>192</v>
      </c>
      <c r="U20" s="142"/>
    </row>
    <row r="21" spans="1:21" ht="41.25" customHeight="1">
      <c r="A21" s="317" t="s">
        <v>147</v>
      </c>
      <c r="B21" s="317"/>
      <c r="C21" s="317"/>
      <c r="D21" s="317"/>
      <c r="E21" s="317"/>
      <c r="F21" s="198"/>
      <c r="G21" s="198"/>
      <c r="H21" s="198"/>
      <c r="I21" s="167">
        <v>653</v>
      </c>
      <c r="J21" s="169">
        <v>1</v>
      </c>
      <c r="K21" s="169">
        <v>2</v>
      </c>
      <c r="L21" s="170" t="s">
        <v>406</v>
      </c>
      <c r="M21" s="171">
        <v>122</v>
      </c>
      <c r="N21" s="173">
        <v>50</v>
      </c>
      <c r="O21" s="173">
        <v>0</v>
      </c>
      <c r="P21" s="168">
        <v>50</v>
      </c>
      <c r="Q21" s="168">
        <v>0</v>
      </c>
      <c r="R21" s="168">
        <v>50</v>
      </c>
      <c r="S21" s="168">
        <v>0</v>
      </c>
      <c r="T21" s="142" t="s">
        <v>192</v>
      </c>
      <c r="U21" s="142"/>
    </row>
    <row r="22" spans="1:21" ht="58.5" customHeight="1">
      <c r="A22" s="306" t="s">
        <v>388</v>
      </c>
      <c r="B22" s="307"/>
      <c r="C22" s="307"/>
      <c r="D22" s="308"/>
      <c r="E22" s="199"/>
      <c r="F22" s="198"/>
      <c r="G22" s="198"/>
      <c r="H22" s="198"/>
      <c r="I22" s="167"/>
      <c r="J22" s="169">
        <v>1</v>
      </c>
      <c r="K22" s="169">
        <v>2</v>
      </c>
      <c r="L22" s="170" t="s">
        <v>406</v>
      </c>
      <c r="M22" s="171">
        <v>129</v>
      </c>
      <c r="N22" s="173">
        <v>290.9</v>
      </c>
      <c r="O22" s="173">
        <v>0</v>
      </c>
      <c r="P22" s="168"/>
      <c r="Q22" s="168"/>
      <c r="R22" s="168"/>
      <c r="S22" s="168"/>
      <c r="T22" s="142"/>
      <c r="U22" s="142"/>
    </row>
    <row r="23" spans="1:21" ht="48.75" customHeight="1">
      <c r="A23" s="303" t="s">
        <v>300</v>
      </c>
      <c r="B23" s="303"/>
      <c r="C23" s="303"/>
      <c r="D23" s="303"/>
      <c r="E23" s="303"/>
      <c r="F23" s="303"/>
      <c r="G23" s="303"/>
      <c r="H23" s="303"/>
      <c r="I23" s="179">
        <v>653</v>
      </c>
      <c r="J23" s="180">
        <v>1</v>
      </c>
      <c r="K23" s="180">
        <v>3</v>
      </c>
      <c r="L23" s="235" t="s">
        <v>386</v>
      </c>
      <c r="M23" s="181">
        <v>0</v>
      </c>
      <c r="N23" s="233">
        <f aca="true" t="shared" si="3" ref="N23:S24">N24</f>
        <v>5</v>
      </c>
      <c r="O23" s="233">
        <f t="shared" si="3"/>
        <v>0</v>
      </c>
      <c r="P23" s="234">
        <f t="shared" si="3"/>
        <v>5.3</v>
      </c>
      <c r="Q23" s="234">
        <f t="shared" si="3"/>
        <v>0</v>
      </c>
      <c r="R23" s="234">
        <f t="shared" si="3"/>
        <v>5.5</v>
      </c>
      <c r="S23" s="234">
        <f t="shared" si="3"/>
        <v>0</v>
      </c>
      <c r="T23" s="142"/>
      <c r="U23" s="142"/>
    </row>
    <row r="24" spans="1:21" ht="46.5" customHeight="1">
      <c r="A24" s="311" t="s">
        <v>197</v>
      </c>
      <c r="B24" s="312"/>
      <c r="C24" s="312"/>
      <c r="D24" s="313"/>
      <c r="E24" s="178"/>
      <c r="F24" s="178"/>
      <c r="G24" s="178"/>
      <c r="H24" s="178"/>
      <c r="I24" s="179">
        <v>653</v>
      </c>
      <c r="J24" s="180">
        <v>1</v>
      </c>
      <c r="K24" s="180">
        <v>3</v>
      </c>
      <c r="L24" s="172" t="s">
        <v>386</v>
      </c>
      <c r="M24" s="181">
        <v>0</v>
      </c>
      <c r="N24" s="233">
        <f t="shared" si="3"/>
        <v>5</v>
      </c>
      <c r="O24" s="233">
        <f t="shared" si="3"/>
        <v>0</v>
      </c>
      <c r="P24" s="234">
        <f t="shared" si="3"/>
        <v>5.3</v>
      </c>
      <c r="Q24" s="234">
        <f t="shared" si="3"/>
        <v>0</v>
      </c>
      <c r="R24" s="234">
        <f t="shared" si="3"/>
        <v>5.5</v>
      </c>
      <c r="S24" s="234">
        <f t="shared" si="3"/>
        <v>0</v>
      </c>
      <c r="T24" s="142"/>
      <c r="U24" s="142"/>
    </row>
    <row r="25" spans="1:21" ht="53.25" customHeight="1">
      <c r="A25" s="309" t="s">
        <v>244</v>
      </c>
      <c r="B25" s="309"/>
      <c r="C25" s="309"/>
      <c r="D25" s="309"/>
      <c r="E25" s="309"/>
      <c r="F25" s="309"/>
      <c r="G25" s="309"/>
      <c r="H25" s="309"/>
      <c r="I25" s="167">
        <v>653</v>
      </c>
      <c r="J25" s="169">
        <v>1</v>
      </c>
      <c r="K25" s="169">
        <v>3</v>
      </c>
      <c r="L25" s="172" t="s">
        <v>389</v>
      </c>
      <c r="M25" s="171">
        <v>0</v>
      </c>
      <c r="N25" s="173">
        <f aca="true" t="shared" si="4" ref="N25:S25">N27</f>
        <v>5</v>
      </c>
      <c r="O25" s="173">
        <f t="shared" si="4"/>
        <v>0</v>
      </c>
      <c r="P25" s="168">
        <f t="shared" si="4"/>
        <v>5.3</v>
      </c>
      <c r="Q25" s="168">
        <f t="shared" si="4"/>
        <v>0</v>
      </c>
      <c r="R25" s="168">
        <f t="shared" si="4"/>
        <v>5.5</v>
      </c>
      <c r="S25" s="168">
        <f t="shared" si="4"/>
        <v>0</v>
      </c>
      <c r="T25" s="142"/>
      <c r="U25" s="142"/>
    </row>
    <row r="26" spans="1:21" s="8" customFormat="1" ht="35.25" customHeight="1">
      <c r="A26" s="321" t="s">
        <v>407</v>
      </c>
      <c r="B26" s="322"/>
      <c r="C26" s="322"/>
      <c r="D26" s="322"/>
      <c r="E26" s="322"/>
      <c r="F26" s="322"/>
      <c r="G26" s="322"/>
      <c r="H26" s="323"/>
      <c r="I26" s="167"/>
      <c r="J26" s="182" t="s">
        <v>390</v>
      </c>
      <c r="K26" s="182" t="s">
        <v>391</v>
      </c>
      <c r="L26" s="171" t="s">
        <v>389</v>
      </c>
      <c r="M26" s="171">
        <v>200</v>
      </c>
      <c r="N26" s="173">
        <f aca="true" t="shared" si="5" ref="N26:S27">N27</f>
        <v>5</v>
      </c>
      <c r="O26" s="173">
        <f>O27</f>
        <v>0</v>
      </c>
      <c r="P26" s="168">
        <f>P27</f>
        <v>5.3</v>
      </c>
      <c r="Q26" s="168">
        <f>Q27</f>
        <v>0</v>
      </c>
      <c r="R26" s="168">
        <f>R27</f>
        <v>5.5</v>
      </c>
      <c r="S26" s="168">
        <f>S27</f>
        <v>0</v>
      </c>
      <c r="T26" s="142"/>
      <c r="U26" s="142"/>
    </row>
    <row r="27" spans="1:21" ht="29.25" customHeight="1">
      <c r="A27" s="309" t="s">
        <v>202</v>
      </c>
      <c r="B27" s="309"/>
      <c r="C27" s="309"/>
      <c r="D27" s="309"/>
      <c r="E27" s="309"/>
      <c r="F27" s="309"/>
      <c r="G27" s="309"/>
      <c r="H27" s="309"/>
      <c r="I27" s="167"/>
      <c r="J27" s="169">
        <v>1</v>
      </c>
      <c r="K27" s="169">
        <v>3</v>
      </c>
      <c r="L27" s="170" t="s">
        <v>389</v>
      </c>
      <c r="M27" s="171">
        <v>240</v>
      </c>
      <c r="N27" s="173">
        <f t="shared" si="5"/>
        <v>5</v>
      </c>
      <c r="O27" s="173">
        <f t="shared" si="5"/>
        <v>0</v>
      </c>
      <c r="P27" s="168">
        <f t="shared" si="5"/>
        <v>5.3</v>
      </c>
      <c r="Q27" s="168">
        <f t="shared" si="5"/>
        <v>0</v>
      </c>
      <c r="R27" s="168">
        <f t="shared" si="5"/>
        <v>5.5</v>
      </c>
      <c r="S27" s="168">
        <f t="shared" si="5"/>
        <v>0</v>
      </c>
      <c r="T27" s="142"/>
      <c r="U27" s="142"/>
    </row>
    <row r="28" spans="1:21" ht="33.75" customHeight="1">
      <c r="A28" s="309" t="s">
        <v>203</v>
      </c>
      <c r="B28" s="309"/>
      <c r="C28" s="309"/>
      <c r="D28" s="309"/>
      <c r="E28" s="309"/>
      <c r="F28" s="309"/>
      <c r="G28" s="309"/>
      <c r="H28" s="309"/>
      <c r="I28" s="167">
        <v>653</v>
      </c>
      <c r="J28" s="169">
        <v>1</v>
      </c>
      <c r="K28" s="169">
        <v>3</v>
      </c>
      <c r="L28" s="170" t="s">
        <v>389</v>
      </c>
      <c r="M28" s="171">
        <v>244</v>
      </c>
      <c r="N28" s="173">
        <v>5</v>
      </c>
      <c r="O28" s="173">
        <v>0</v>
      </c>
      <c r="P28" s="168">
        <v>5.3</v>
      </c>
      <c r="Q28" s="168">
        <v>0</v>
      </c>
      <c r="R28" s="168">
        <v>5.5</v>
      </c>
      <c r="S28" s="168">
        <v>0</v>
      </c>
      <c r="T28" s="142"/>
      <c r="U28" s="142"/>
    </row>
    <row r="29" spans="1:21" ht="48.75" customHeight="1">
      <c r="A29" s="303" t="s">
        <v>299</v>
      </c>
      <c r="B29" s="303"/>
      <c r="C29" s="303"/>
      <c r="D29" s="303"/>
      <c r="E29" s="303"/>
      <c r="F29" s="303"/>
      <c r="G29" s="303"/>
      <c r="H29" s="303"/>
      <c r="I29" s="179">
        <v>653</v>
      </c>
      <c r="J29" s="236">
        <v>1</v>
      </c>
      <c r="K29" s="236">
        <v>4</v>
      </c>
      <c r="L29" s="235" t="s">
        <v>386</v>
      </c>
      <c r="M29" s="237">
        <v>0</v>
      </c>
      <c r="N29" s="238">
        <f>N30</f>
        <v>3629.1000000000004</v>
      </c>
      <c r="O29" s="238">
        <f aca="true" t="shared" si="6" ref="O29:S30">O30</f>
        <v>0</v>
      </c>
      <c r="P29" s="234" t="e">
        <f t="shared" si="6"/>
        <v>#REF!</v>
      </c>
      <c r="Q29" s="234" t="e">
        <f t="shared" si="6"/>
        <v>#REF!</v>
      </c>
      <c r="R29" s="234" t="e">
        <f t="shared" si="6"/>
        <v>#REF!</v>
      </c>
      <c r="S29" s="234" t="e">
        <f t="shared" si="6"/>
        <v>#REF!</v>
      </c>
      <c r="T29" s="142"/>
      <c r="U29" s="142"/>
    </row>
    <row r="30" spans="1:21" ht="57.75" customHeight="1">
      <c r="A30" s="311" t="s">
        <v>197</v>
      </c>
      <c r="B30" s="312"/>
      <c r="C30" s="312"/>
      <c r="D30" s="313"/>
      <c r="E30" s="178"/>
      <c r="F30" s="178"/>
      <c r="G30" s="178"/>
      <c r="H30" s="178"/>
      <c r="I30" s="179">
        <v>653</v>
      </c>
      <c r="J30" s="236">
        <v>1</v>
      </c>
      <c r="K30" s="236">
        <v>4</v>
      </c>
      <c r="L30" s="172" t="s">
        <v>386</v>
      </c>
      <c r="M30" s="237">
        <v>0</v>
      </c>
      <c r="N30" s="238">
        <f>N31+N37</f>
        <v>3629.1000000000004</v>
      </c>
      <c r="O30" s="238">
        <f t="shared" si="6"/>
        <v>0</v>
      </c>
      <c r="P30" s="234" t="e">
        <f t="shared" si="6"/>
        <v>#REF!</v>
      </c>
      <c r="Q30" s="234" t="e">
        <f t="shared" si="6"/>
        <v>#REF!</v>
      </c>
      <c r="R30" s="234" t="e">
        <f t="shared" si="6"/>
        <v>#REF!</v>
      </c>
      <c r="S30" s="234" t="e">
        <f t="shared" si="6"/>
        <v>#REF!</v>
      </c>
      <c r="T30" s="142" t="s">
        <v>192</v>
      </c>
      <c r="U30" s="142"/>
    </row>
    <row r="31" spans="1:21" s="8" customFormat="1" ht="57" customHeight="1">
      <c r="A31" s="309" t="s">
        <v>245</v>
      </c>
      <c r="B31" s="309"/>
      <c r="C31" s="309"/>
      <c r="D31" s="309"/>
      <c r="E31" s="309"/>
      <c r="F31" s="309"/>
      <c r="G31" s="309"/>
      <c r="H31" s="309"/>
      <c r="I31" s="167">
        <v>653</v>
      </c>
      <c r="J31" s="174">
        <v>1</v>
      </c>
      <c r="K31" s="174">
        <v>4</v>
      </c>
      <c r="L31" s="175" t="s">
        <v>389</v>
      </c>
      <c r="M31" s="176">
        <v>0</v>
      </c>
      <c r="N31" s="177">
        <v>3111.4</v>
      </c>
      <c r="O31" s="177">
        <v>0</v>
      </c>
      <c r="P31" s="168" t="e">
        <f>P32+#REF!+#REF!+#REF!</f>
        <v>#REF!</v>
      </c>
      <c r="Q31" s="168" t="e">
        <f>Q32+#REF!+#REF!+#REF!</f>
        <v>#REF!</v>
      </c>
      <c r="R31" s="168" t="e">
        <f>R32+#REF!+#REF!+#REF!</f>
        <v>#REF!</v>
      </c>
      <c r="S31" s="168" t="e">
        <f>S32+#REF!+#REF!+#REF!</f>
        <v>#REF!</v>
      </c>
      <c r="T31" s="142" t="s">
        <v>192</v>
      </c>
      <c r="U31" s="142"/>
    </row>
    <row r="32" spans="1:21" s="8" customFormat="1" ht="26.25" customHeight="1">
      <c r="A32" s="309" t="s">
        <v>200</v>
      </c>
      <c r="B32" s="309"/>
      <c r="C32" s="309"/>
      <c r="D32" s="309"/>
      <c r="E32" s="309"/>
      <c r="F32" s="309"/>
      <c r="G32" s="309"/>
      <c r="H32" s="309"/>
      <c r="I32" s="167"/>
      <c r="J32" s="174">
        <v>1</v>
      </c>
      <c r="K32" s="174">
        <v>4</v>
      </c>
      <c r="L32" s="175" t="s">
        <v>389</v>
      </c>
      <c r="M32" s="176">
        <v>100</v>
      </c>
      <c r="N32" s="177">
        <f aca="true" t="shared" si="7" ref="N32:S32">N33</f>
        <v>3111.4</v>
      </c>
      <c r="O32" s="177">
        <f t="shared" si="7"/>
        <v>0</v>
      </c>
      <c r="P32" s="168">
        <f t="shared" si="7"/>
        <v>3150.66148</v>
      </c>
      <c r="Q32" s="168">
        <f t="shared" si="7"/>
        <v>0</v>
      </c>
      <c r="R32" s="168">
        <f t="shared" si="7"/>
        <v>3111.4011</v>
      </c>
      <c r="S32" s="168">
        <f t="shared" si="7"/>
        <v>0</v>
      </c>
      <c r="T32" s="142" t="s">
        <v>192</v>
      </c>
      <c r="U32" s="142"/>
    </row>
    <row r="33" spans="1:21" ht="38.25" customHeight="1">
      <c r="A33" s="309" t="s">
        <v>201</v>
      </c>
      <c r="B33" s="309"/>
      <c r="C33" s="309"/>
      <c r="D33" s="309"/>
      <c r="E33" s="309"/>
      <c r="F33" s="309"/>
      <c r="G33" s="309"/>
      <c r="H33" s="309"/>
      <c r="I33" s="167"/>
      <c r="J33" s="174">
        <v>1</v>
      </c>
      <c r="K33" s="174">
        <v>4</v>
      </c>
      <c r="L33" s="175" t="s">
        <v>389</v>
      </c>
      <c r="M33" s="176">
        <v>120</v>
      </c>
      <c r="N33" s="177">
        <f>SUM(N34+N35+N36)</f>
        <v>3111.4</v>
      </c>
      <c r="O33" s="177">
        <f>SUM(O34+O35)</f>
        <v>0</v>
      </c>
      <c r="P33" s="168">
        <f>SUM(P34+P35)</f>
        <v>3150.66148</v>
      </c>
      <c r="Q33" s="168">
        <f>SUM(Q34+Q35)</f>
        <v>0</v>
      </c>
      <c r="R33" s="168">
        <f>SUM(R34+R35)</f>
        <v>3111.4011</v>
      </c>
      <c r="S33" s="168">
        <f>SUM(S34+S35)</f>
        <v>0</v>
      </c>
      <c r="T33" s="142" t="s">
        <v>192</v>
      </c>
      <c r="U33" s="142"/>
    </row>
    <row r="34" spans="1:21" ht="38.25" customHeight="1">
      <c r="A34" s="309" t="s">
        <v>387</v>
      </c>
      <c r="B34" s="309"/>
      <c r="C34" s="309"/>
      <c r="D34" s="309"/>
      <c r="E34" s="309"/>
      <c r="F34" s="309"/>
      <c r="G34" s="309"/>
      <c r="H34" s="309"/>
      <c r="I34" s="167">
        <v>653</v>
      </c>
      <c r="J34" s="174">
        <v>1</v>
      </c>
      <c r="K34" s="174">
        <v>4</v>
      </c>
      <c r="L34" s="175" t="s">
        <v>389</v>
      </c>
      <c r="M34" s="176">
        <v>121</v>
      </c>
      <c r="N34" s="177">
        <v>2274.5</v>
      </c>
      <c r="O34" s="177">
        <v>0</v>
      </c>
      <c r="P34" s="168">
        <f>3381.05938-419.65828</f>
        <v>2961.4011</v>
      </c>
      <c r="Q34" s="168">
        <v>0</v>
      </c>
      <c r="R34" s="168">
        <f>3381.05938-419.65828</f>
        <v>2961.4011</v>
      </c>
      <c r="S34" s="168">
        <v>0</v>
      </c>
      <c r="T34" s="142" t="s">
        <v>192</v>
      </c>
      <c r="U34" s="142"/>
    </row>
    <row r="35" spans="1:21" s="8" customFormat="1" ht="40.5" customHeight="1">
      <c r="A35" s="317" t="s">
        <v>147</v>
      </c>
      <c r="B35" s="317"/>
      <c r="C35" s="317"/>
      <c r="D35" s="317"/>
      <c r="E35" s="317"/>
      <c r="F35" s="198"/>
      <c r="G35" s="198"/>
      <c r="H35" s="198"/>
      <c r="I35" s="167">
        <v>653</v>
      </c>
      <c r="J35" s="174">
        <v>1</v>
      </c>
      <c r="K35" s="174">
        <v>4</v>
      </c>
      <c r="L35" s="175" t="s">
        <v>389</v>
      </c>
      <c r="M35" s="176">
        <v>122</v>
      </c>
      <c r="N35" s="177">
        <v>150</v>
      </c>
      <c r="O35" s="177">
        <v>0</v>
      </c>
      <c r="P35" s="168">
        <f>86.66038+102.6</f>
        <v>189.26038</v>
      </c>
      <c r="Q35" s="168">
        <v>0</v>
      </c>
      <c r="R35" s="168">
        <v>150</v>
      </c>
      <c r="S35" s="168">
        <v>0</v>
      </c>
      <c r="T35" s="142" t="s">
        <v>192</v>
      </c>
      <c r="U35" s="142"/>
    </row>
    <row r="36" spans="1:21" s="8" customFormat="1" ht="39" customHeight="1">
      <c r="A36" s="306" t="s">
        <v>388</v>
      </c>
      <c r="B36" s="307"/>
      <c r="C36" s="307"/>
      <c r="D36" s="308"/>
      <c r="E36" s="199"/>
      <c r="F36" s="198"/>
      <c r="G36" s="198"/>
      <c r="H36" s="198"/>
      <c r="I36" s="167"/>
      <c r="J36" s="174">
        <v>1</v>
      </c>
      <c r="K36" s="174">
        <v>4</v>
      </c>
      <c r="L36" s="175" t="s">
        <v>389</v>
      </c>
      <c r="M36" s="176">
        <v>129</v>
      </c>
      <c r="N36" s="177">
        <v>686.9</v>
      </c>
      <c r="O36" s="177">
        <v>0</v>
      </c>
      <c r="P36" s="168"/>
      <c r="Q36" s="168"/>
      <c r="R36" s="168"/>
      <c r="S36" s="168"/>
      <c r="T36" s="142" t="s">
        <v>192</v>
      </c>
      <c r="U36" s="142"/>
    </row>
    <row r="37" spans="1:22" ht="36" customHeight="1">
      <c r="A37" s="311" t="s">
        <v>197</v>
      </c>
      <c r="B37" s="312"/>
      <c r="C37" s="312"/>
      <c r="D37" s="313"/>
      <c r="E37" s="198"/>
      <c r="F37" s="198"/>
      <c r="G37" s="198"/>
      <c r="H37" s="198"/>
      <c r="I37" s="167"/>
      <c r="J37" s="236">
        <v>1</v>
      </c>
      <c r="K37" s="236">
        <v>4</v>
      </c>
      <c r="L37" s="172" t="s">
        <v>386</v>
      </c>
      <c r="M37" s="237">
        <v>0</v>
      </c>
      <c r="N37" s="177">
        <f>N38</f>
        <v>517.7</v>
      </c>
      <c r="O37" s="177">
        <f>O38</f>
        <v>0</v>
      </c>
      <c r="P37" s="168"/>
      <c r="Q37" s="168"/>
      <c r="R37" s="168"/>
      <c r="S37" s="168"/>
      <c r="T37" s="142" t="s">
        <v>192</v>
      </c>
      <c r="U37" s="142"/>
      <c r="V37" s="2"/>
    </row>
    <row r="38" spans="1:21" ht="31.5" customHeight="1">
      <c r="A38" s="309" t="s">
        <v>204</v>
      </c>
      <c r="B38" s="309"/>
      <c r="C38" s="309"/>
      <c r="D38" s="309"/>
      <c r="E38" s="309"/>
      <c r="F38" s="198"/>
      <c r="G38" s="198"/>
      <c r="H38" s="198"/>
      <c r="I38" s="167">
        <v>653</v>
      </c>
      <c r="J38" s="174">
        <v>1</v>
      </c>
      <c r="K38" s="174">
        <v>4</v>
      </c>
      <c r="L38" s="175" t="s">
        <v>408</v>
      </c>
      <c r="M38" s="176">
        <v>500</v>
      </c>
      <c r="N38" s="177">
        <f>N39</f>
        <v>517.7</v>
      </c>
      <c r="O38" s="177">
        <f>O39</f>
        <v>0</v>
      </c>
      <c r="P38" s="168"/>
      <c r="Q38" s="168"/>
      <c r="R38" s="168"/>
      <c r="S38" s="168"/>
      <c r="T38" s="142" t="s">
        <v>192</v>
      </c>
      <c r="U38" s="142"/>
    </row>
    <row r="39" spans="1:21" ht="103.5" customHeight="1">
      <c r="A39" s="309" t="s">
        <v>409</v>
      </c>
      <c r="B39" s="309"/>
      <c r="C39" s="309"/>
      <c r="D39" s="309"/>
      <c r="E39" s="309"/>
      <c r="F39" s="309"/>
      <c r="G39" s="309"/>
      <c r="H39" s="309"/>
      <c r="I39" s="167">
        <v>653</v>
      </c>
      <c r="J39" s="174">
        <v>1</v>
      </c>
      <c r="K39" s="174">
        <v>4</v>
      </c>
      <c r="L39" s="175" t="s">
        <v>408</v>
      </c>
      <c r="M39" s="176">
        <v>540</v>
      </c>
      <c r="N39" s="177">
        <v>517.7</v>
      </c>
      <c r="O39" s="177">
        <v>0</v>
      </c>
      <c r="P39" s="168"/>
      <c r="Q39" s="168"/>
      <c r="R39" s="168"/>
      <c r="S39" s="168"/>
      <c r="T39" s="142" t="s">
        <v>192</v>
      </c>
      <c r="U39" s="142"/>
    </row>
    <row r="40" spans="1:21" ht="19.5" customHeight="1">
      <c r="A40" s="303" t="s">
        <v>297</v>
      </c>
      <c r="B40" s="303"/>
      <c r="C40" s="303"/>
      <c r="D40" s="303"/>
      <c r="E40" s="303"/>
      <c r="F40" s="303"/>
      <c r="G40" s="303"/>
      <c r="H40" s="303"/>
      <c r="I40" s="179">
        <v>653</v>
      </c>
      <c r="J40" s="180">
        <v>1</v>
      </c>
      <c r="K40" s="180">
        <v>11</v>
      </c>
      <c r="L40" s="172" t="s">
        <v>410</v>
      </c>
      <c r="M40" s="181">
        <v>0</v>
      </c>
      <c r="N40" s="233">
        <f aca="true" t="shared" si="8" ref="N40:S40">N42</f>
        <v>150</v>
      </c>
      <c r="O40" s="233">
        <f t="shared" si="8"/>
        <v>0</v>
      </c>
      <c r="P40" s="234">
        <f t="shared" si="8"/>
        <v>150</v>
      </c>
      <c r="Q40" s="234">
        <f t="shared" si="8"/>
        <v>0</v>
      </c>
      <c r="R40" s="234">
        <f t="shared" si="8"/>
        <v>150</v>
      </c>
      <c r="S40" s="234">
        <f t="shared" si="8"/>
        <v>0</v>
      </c>
      <c r="T40" s="142" t="s">
        <v>192</v>
      </c>
      <c r="U40" s="142"/>
    </row>
    <row r="41" spans="1:21" s="8" customFormat="1" ht="44.25" customHeight="1">
      <c r="A41" s="304" t="s">
        <v>198</v>
      </c>
      <c r="B41" s="304"/>
      <c r="C41" s="304"/>
      <c r="D41" s="304"/>
      <c r="E41" s="178"/>
      <c r="F41" s="178"/>
      <c r="G41" s="178"/>
      <c r="H41" s="178"/>
      <c r="I41" s="179">
        <v>653</v>
      </c>
      <c r="J41" s="180">
        <v>1</v>
      </c>
      <c r="K41" s="180">
        <v>11</v>
      </c>
      <c r="L41" s="172" t="s">
        <v>410</v>
      </c>
      <c r="M41" s="181">
        <v>0</v>
      </c>
      <c r="N41" s="233">
        <f aca="true" t="shared" si="9" ref="N41:S43">N42</f>
        <v>150</v>
      </c>
      <c r="O41" s="233">
        <f t="shared" si="9"/>
        <v>0</v>
      </c>
      <c r="P41" s="234">
        <f t="shared" si="9"/>
        <v>150</v>
      </c>
      <c r="Q41" s="234">
        <f t="shared" si="9"/>
        <v>0</v>
      </c>
      <c r="R41" s="234">
        <f t="shared" si="9"/>
        <v>150</v>
      </c>
      <c r="S41" s="234">
        <f t="shared" si="9"/>
        <v>0</v>
      </c>
      <c r="T41" s="142" t="s">
        <v>192</v>
      </c>
      <c r="U41" s="142"/>
    </row>
    <row r="42" spans="1:21" ht="54" customHeight="1">
      <c r="A42" s="309" t="s">
        <v>411</v>
      </c>
      <c r="B42" s="309"/>
      <c r="C42" s="309"/>
      <c r="D42" s="309"/>
      <c r="E42" s="309"/>
      <c r="F42" s="309"/>
      <c r="G42" s="309"/>
      <c r="H42" s="309"/>
      <c r="I42" s="167">
        <v>653</v>
      </c>
      <c r="J42" s="169">
        <v>1</v>
      </c>
      <c r="K42" s="169">
        <v>11</v>
      </c>
      <c r="L42" s="170" t="s">
        <v>412</v>
      </c>
      <c r="M42" s="171">
        <v>0</v>
      </c>
      <c r="N42" s="173">
        <f t="shared" si="9"/>
        <v>150</v>
      </c>
      <c r="O42" s="173">
        <f t="shared" si="9"/>
        <v>0</v>
      </c>
      <c r="P42" s="168">
        <f t="shared" si="9"/>
        <v>150</v>
      </c>
      <c r="Q42" s="168">
        <f t="shared" si="9"/>
        <v>0</v>
      </c>
      <c r="R42" s="168">
        <f t="shared" si="9"/>
        <v>150</v>
      </c>
      <c r="S42" s="168">
        <f t="shared" si="9"/>
        <v>0</v>
      </c>
      <c r="T42" s="142" t="s">
        <v>192</v>
      </c>
      <c r="U42" s="142"/>
    </row>
    <row r="43" spans="1:21" ht="24.75" customHeight="1">
      <c r="A43" s="309" t="s">
        <v>206</v>
      </c>
      <c r="B43" s="309"/>
      <c r="C43" s="309"/>
      <c r="D43" s="309"/>
      <c r="E43" s="309"/>
      <c r="F43" s="198"/>
      <c r="G43" s="198"/>
      <c r="H43" s="198"/>
      <c r="I43" s="167">
        <v>653</v>
      </c>
      <c r="J43" s="169">
        <v>1</v>
      </c>
      <c r="K43" s="169">
        <v>11</v>
      </c>
      <c r="L43" s="169" t="s">
        <v>412</v>
      </c>
      <c r="M43" s="171">
        <v>800</v>
      </c>
      <c r="N43" s="173">
        <f t="shared" si="9"/>
        <v>150</v>
      </c>
      <c r="O43" s="173">
        <f t="shared" si="9"/>
        <v>0</v>
      </c>
      <c r="P43" s="168">
        <f t="shared" si="9"/>
        <v>150</v>
      </c>
      <c r="Q43" s="168">
        <f t="shared" si="9"/>
        <v>0</v>
      </c>
      <c r="R43" s="168">
        <f t="shared" si="9"/>
        <v>150</v>
      </c>
      <c r="S43" s="168">
        <f t="shared" si="9"/>
        <v>0</v>
      </c>
      <c r="T43" s="142" t="s">
        <v>192</v>
      </c>
      <c r="U43" s="142"/>
    </row>
    <row r="44" spans="1:21" ht="30" customHeight="1">
      <c r="A44" s="309" t="s">
        <v>315</v>
      </c>
      <c r="B44" s="309"/>
      <c r="C44" s="309"/>
      <c r="D44" s="309"/>
      <c r="E44" s="309"/>
      <c r="F44" s="309"/>
      <c r="G44" s="309"/>
      <c r="H44" s="309"/>
      <c r="I44" s="167">
        <v>653</v>
      </c>
      <c r="J44" s="169">
        <v>1</v>
      </c>
      <c r="K44" s="169">
        <v>11</v>
      </c>
      <c r="L44" s="170" t="s">
        <v>412</v>
      </c>
      <c r="M44" s="171">
        <v>870</v>
      </c>
      <c r="N44" s="173">
        <f>150000/1000</f>
        <v>150</v>
      </c>
      <c r="O44" s="173">
        <v>0</v>
      </c>
      <c r="P44" s="168">
        <v>150</v>
      </c>
      <c r="Q44" s="168">
        <v>0</v>
      </c>
      <c r="R44" s="239">
        <v>150</v>
      </c>
      <c r="S44" s="168">
        <v>0</v>
      </c>
      <c r="T44" s="142" t="s">
        <v>192</v>
      </c>
      <c r="U44" s="142"/>
    </row>
    <row r="45" spans="1:21" ht="19.5" customHeight="1">
      <c r="A45" s="303" t="s">
        <v>296</v>
      </c>
      <c r="B45" s="303"/>
      <c r="C45" s="303"/>
      <c r="D45" s="303"/>
      <c r="E45" s="303"/>
      <c r="F45" s="303"/>
      <c r="G45" s="303"/>
      <c r="H45" s="303"/>
      <c r="I45" s="167"/>
      <c r="J45" s="180">
        <v>1</v>
      </c>
      <c r="K45" s="180">
        <v>13</v>
      </c>
      <c r="L45" s="240" t="s">
        <v>385</v>
      </c>
      <c r="M45" s="181">
        <v>0</v>
      </c>
      <c r="N45" s="173">
        <f>N46</f>
        <v>5991.8</v>
      </c>
      <c r="O45" s="173">
        <v>0</v>
      </c>
      <c r="P45" s="168"/>
      <c r="Q45" s="168"/>
      <c r="R45" s="239"/>
      <c r="S45" s="168"/>
      <c r="T45" s="142"/>
      <c r="U45" s="142"/>
    </row>
    <row r="46" spans="1:21" ht="54" customHeight="1">
      <c r="A46" s="303" t="s">
        <v>199</v>
      </c>
      <c r="B46" s="303"/>
      <c r="C46" s="303"/>
      <c r="D46" s="303"/>
      <c r="E46" s="303"/>
      <c r="F46" s="303"/>
      <c r="G46" s="303"/>
      <c r="H46" s="303"/>
      <c r="I46" s="179">
        <v>653</v>
      </c>
      <c r="J46" s="180">
        <v>1</v>
      </c>
      <c r="K46" s="180">
        <v>13</v>
      </c>
      <c r="L46" s="172" t="s">
        <v>392</v>
      </c>
      <c r="M46" s="181">
        <v>0</v>
      </c>
      <c r="N46" s="233">
        <f aca="true" t="shared" si="10" ref="N46:S46">N47</f>
        <v>5991.8</v>
      </c>
      <c r="O46" s="233">
        <f t="shared" si="10"/>
        <v>0</v>
      </c>
      <c r="P46" s="234" t="e">
        <f t="shared" si="10"/>
        <v>#REF!</v>
      </c>
      <c r="Q46" s="234" t="e">
        <f t="shared" si="10"/>
        <v>#REF!</v>
      </c>
      <c r="R46" s="234" t="e">
        <f t="shared" si="10"/>
        <v>#REF!</v>
      </c>
      <c r="S46" s="234" t="e">
        <f t="shared" si="10"/>
        <v>#REF!</v>
      </c>
      <c r="T46" s="142" t="s">
        <v>192</v>
      </c>
      <c r="U46" s="142"/>
    </row>
    <row r="47" spans="1:21" ht="61.5" customHeight="1">
      <c r="A47" s="309" t="s">
        <v>413</v>
      </c>
      <c r="B47" s="309"/>
      <c r="C47" s="309"/>
      <c r="D47" s="309"/>
      <c r="E47" s="309"/>
      <c r="F47" s="309"/>
      <c r="G47" s="309"/>
      <c r="H47" s="309"/>
      <c r="I47" s="167">
        <v>653</v>
      </c>
      <c r="J47" s="169">
        <v>1</v>
      </c>
      <c r="K47" s="169">
        <v>13</v>
      </c>
      <c r="L47" s="170" t="s">
        <v>393</v>
      </c>
      <c r="M47" s="171">
        <v>0</v>
      </c>
      <c r="N47" s="173">
        <f>N48+N53+N57</f>
        <v>5991.8</v>
      </c>
      <c r="O47" s="173">
        <v>0</v>
      </c>
      <c r="P47" s="168" t="e">
        <f>P48+P53+#REF!</f>
        <v>#REF!</v>
      </c>
      <c r="Q47" s="168" t="e">
        <f>Q48+Q53+#REF!</f>
        <v>#REF!</v>
      </c>
      <c r="R47" s="168" t="e">
        <f>R48+R53+#REF!</f>
        <v>#REF!</v>
      </c>
      <c r="S47" s="168" t="e">
        <f>S48+S53+#REF!</f>
        <v>#REF!</v>
      </c>
      <c r="T47" s="142" t="s">
        <v>192</v>
      </c>
      <c r="U47" s="142"/>
    </row>
    <row r="48" spans="1:21" s="8" customFormat="1" ht="65.25" customHeight="1">
      <c r="A48" s="309" t="s">
        <v>200</v>
      </c>
      <c r="B48" s="309"/>
      <c r="C48" s="309"/>
      <c r="D48" s="309"/>
      <c r="E48" s="309"/>
      <c r="F48" s="309"/>
      <c r="G48" s="309"/>
      <c r="H48" s="309"/>
      <c r="I48" s="167"/>
      <c r="J48" s="169">
        <v>1</v>
      </c>
      <c r="K48" s="169">
        <v>13</v>
      </c>
      <c r="L48" s="171" t="s">
        <v>393</v>
      </c>
      <c r="M48" s="171">
        <v>100</v>
      </c>
      <c r="N48" s="173">
        <f aca="true" t="shared" si="11" ref="N48:S48">N49</f>
        <v>5296.2</v>
      </c>
      <c r="O48" s="173">
        <f t="shared" si="11"/>
        <v>0</v>
      </c>
      <c r="P48" s="168">
        <f t="shared" si="11"/>
        <v>6285.08588</v>
      </c>
      <c r="Q48" s="168">
        <f t="shared" si="11"/>
        <v>0</v>
      </c>
      <c r="R48" s="168">
        <f t="shared" si="11"/>
        <v>6135.08588</v>
      </c>
      <c r="S48" s="168">
        <f t="shared" si="11"/>
        <v>0</v>
      </c>
      <c r="T48" s="142" t="s">
        <v>192</v>
      </c>
      <c r="U48" s="142"/>
    </row>
    <row r="49" spans="1:21" s="8" customFormat="1" ht="26.25" customHeight="1">
      <c r="A49" s="309" t="s">
        <v>210</v>
      </c>
      <c r="B49" s="309"/>
      <c r="C49" s="309"/>
      <c r="D49" s="309"/>
      <c r="E49" s="309"/>
      <c r="F49" s="309"/>
      <c r="G49" s="309"/>
      <c r="H49" s="309"/>
      <c r="I49" s="167"/>
      <c r="J49" s="169">
        <v>1</v>
      </c>
      <c r="K49" s="169">
        <v>13</v>
      </c>
      <c r="L49" s="170" t="s">
        <v>393</v>
      </c>
      <c r="M49" s="171">
        <v>110</v>
      </c>
      <c r="N49" s="173">
        <f>SUM(N50+N51+N52)</f>
        <v>5296.2</v>
      </c>
      <c r="O49" s="173">
        <f>SUM(O50+O51)</f>
        <v>0</v>
      </c>
      <c r="P49" s="168">
        <f>SUM(P50+P51)</f>
        <v>6285.08588</v>
      </c>
      <c r="Q49" s="168">
        <f>SUM(Q50+Q51)</f>
        <v>0</v>
      </c>
      <c r="R49" s="168">
        <f>SUM(R50+R51)</f>
        <v>6135.08588</v>
      </c>
      <c r="S49" s="168">
        <f>SUM(S50+S51)</f>
        <v>0</v>
      </c>
      <c r="T49" s="142" t="s">
        <v>192</v>
      </c>
      <c r="U49" s="142"/>
    </row>
    <row r="50" spans="1:21" ht="38.25" customHeight="1">
      <c r="A50" s="309" t="s">
        <v>394</v>
      </c>
      <c r="B50" s="309"/>
      <c r="C50" s="309"/>
      <c r="D50" s="309"/>
      <c r="E50" s="309"/>
      <c r="F50" s="309"/>
      <c r="G50" s="309"/>
      <c r="H50" s="309"/>
      <c r="I50" s="167">
        <v>653</v>
      </c>
      <c r="J50" s="169">
        <v>1</v>
      </c>
      <c r="K50" s="169">
        <v>13</v>
      </c>
      <c r="L50" s="170" t="s">
        <v>393</v>
      </c>
      <c r="M50" s="171">
        <v>111</v>
      </c>
      <c r="N50" s="173">
        <v>3952.5</v>
      </c>
      <c r="O50" s="173">
        <v>0</v>
      </c>
      <c r="P50" s="168">
        <v>5985.08588</v>
      </c>
      <c r="Q50" s="168">
        <v>0</v>
      </c>
      <c r="R50" s="168">
        <f>5985.08588</f>
        <v>5985.08588</v>
      </c>
      <c r="S50" s="168">
        <v>0</v>
      </c>
      <c r="T50" s="142" t="s">
        <v>192</v>
      </c>
      <c r="U50" s="142"/>
    </row>
    <row r="51" spans="1:21" ht="32.25" customHeight="1">
      <c r="A51" s="309" t="s">
        <v>211</v>
      </c>
      <c r="B51" s="309"/>
      <c r="C51" s="309"/>
      <c r="D51" s="309"/>
      <c r="E51" s="309"/>
      <c r="F51" s="309"/>
      <c r="G51" s="309"/>
      <c r="H51" s="309"/>
      <c r="I51" s="167">
        <v>653</v>
      </c>
      <c r="J51" s="169">
        <v>1</v>
      </c>
      <c r="K51" s="169">
        <v>13</v>
      </c>
      <c r="L51" s="170" t="s">
        <v>393</v>
      </c>
      <c r="M51" s="171">
        <v>112</v>
      </c>
      <c r="N51" s="173">
        <f>150</f>
        <v>150</v>
      </c>
      <c r="O51" s="173">
        <v>0</v>
      </c>
      <c r="P51" s="168">
        <v>300</v>
      </c>
      <c r="Q51" s="168">
        <v>0</v>
      </c>
      <c r="R51" s="168">
        <v>150</v>
      </c>
      <c r="S51" s="168">
        <v>0</v>
      </c>
      <c r="T51" s="142" t="s">
        <v>192</v>
      </c>
      <c r="U51" s="142"/>
    </row>
    <row r="52" spans="1:21" s="8" customFormat="1" ht="44.25" customHeight="1">
      <c r="A52" s="306" t="s">
        <v>414</v>
      </c>
      <c r="B52" s="307"/>
      <c r="C52" s="307"/>
      <c r="D52" s="308"/>
      <c r="E52" s="198"/>
      <c r="F52" s="198"/>
      <c r="G52" s="198"/>
      <c r="H52" s="198"/>
      <c r="I52" s="167"/>
      <c r="J52" s="169">
        <v>1</v>
      </c>
      <c r="K52" s="169">
        <v>13</v>
      </c>
      <c r="L52" s="170" t="s">
        <v>393</v>
      </c>
      <c r="M52" s="171">
        <v>119</v>
      </c>
      <c r="N52" s="173">
        <v>1193.7</v>
      </c>
      <c r="O52" s="173">
        <v>0</v>
      </c>
      <c r="P52" s="168"/>
      <c r="Q52" s="168"/>
      <c r="R52" s="168"/>
      <c r="S52" s="168"/>
      <c r="T52" s="142" t="s">
        <v>192</v>
      </c>
      <c r="U52" s="142"/>
    </row>
    <row r="53" spans="1:21" s="8" customFormat="1" ht="26.25" customHeight="1">
      <c r="A53" s="309" t="s">
        <v>407</v>
      </c>
      <c r="B53" s="309"/>
      <c r="C53" s="309"/>
      <c r="D53" s="309"/>
      <c r="E53" s="309"/>
      <c r="F53" s="309"/>
      <c r="G53" s="309"/>
      <c r="H53" s="309"/>
      <c r="I53" s="167"/>
      <c r="J53" s="169">
        <v>1</v>
      </c>
      <c r="K53" s="169">
        <v>13</v>
      </c>
      <c r="L53" s="170" t="s">
        <v>393</v>
      </c>
      <c r="M53" s="171">
        <v>200</v>
      </c>
      <c r="N53" s="173">
        <f aca="true" t="shared" si="12" ref="N53:S53">N54</f>
        <v>670.6</v>
      </c>
      <c r="O53" s="173">
        <f t="shared" si="12"/>
        <v>0</v>
      </c>
      <c r="P53" s="168">
        <f t="shared" si="12"/>
        <v>860.16633</v>
      </c>
      <c r="Q53" s="168">
        <f t="shared" si="12"/>
        <v>0</v>
      </c>
      <c r="R53" s="168">
        <f t="shared" si="12"/>
        <v>789.4</v>
      </c>
      <c r="S53" s="168">
        <f t="shared" si="12"/>
        <v>0</v>
      </c>
      <c r="T53" s="142" t="s">
        <v>192</v>
      </c>
      <c r="U53" s="142"/>
    </row>
    <row r="54" spans="1:21" ht="39" customHeight="1">
      <c r="A54" s="309" t="s">
        <v>202</v>
      </c>
      <c r="B54" s="309"/>
      <c r="C54" s="309"/>
      <c r="D54" s="309"/>
      <c r="E54" s="309"/>
      <c r="F54" s="309"/>
      <c r="G54" s="309"/>
      <c r="H54" s="309"/>
      <c r="I54" s="167"/>
      <c r="J54" s="169">
        <v>1</v>
      </c>
      <c r="K54" s="169">
        <v>13</v>
      </c>
      <c r="L54" s="170" t="s">
        <v>393</v>
      </c>
      <c r="M54" s="171">
        <v>240</v>
      </c>
      <c r="N54" s="173">
        <f aca="true" t="shared" si="13" ref="N54:S54">N55+N56</f>
        <v>670.6</v>
      </c>
      <c r="O54" s="173">
        <f t="shared" si="13"/>
        <v>0</v>
      </c>
      <c r="P54" s="168">
        <f t="shared" si="13"/>
        <v>860.16633</v>
      </c>
      <c r="Q54" s="168">
        <f t="shared" si="13"/>
        <v>0</v>
      </c>
      <c r="R54" s="168">
        <f t="shared" si="13"/>
        <v>789.4</v>
      </c>
      <c r="S54" s="168">
        <f t="shared" si="13"/>
        <v>0</v>
      </c>
      <c r="T54" s="142"/>
      <c r="U54" s="142"/>
    </row>
    <row r="55" spans="1:21" ht="25.5" customHeight="1">
      <c r="A55" s="309" t="s">
        <v>316</v>
      </c>
      <c r="B55" s="309"/>
      <c r="C55" s="309"/>
      <c r="D55" s="309"/>
      <c r="E55" s="309"/>
      <c r="F55" s="309"/>
      <c r="G55" s="309"/>
      <c r="H55" s="309"/>
      <c r="I55" s="167">
        <v>653</v>
      </c>
      <c r="J55" s="169">
        <v>1</v>
      </c>
      <c r="K55" s="169">
        <v>13</v>
      </c>
      <c r="L55" s="170" t="s">
        <v>393</v>
      </c>
      <c r="M55" s="171">
        <v>242</v>
      </c>
      <c r="N55" s="173">
        <f>55.444+127.956</f>
        <v>183.4</v>
      </c>
      <c r="O55" s="173">
        <v>0</v>
      </c>
      <c r="P55" s="168">
        <f>480.33266*0.5-30</f>
        <v>210.16633</v>
      </c>
      <c r="Q55" s="168">
        <v>0</v>
      </c>
      <c r="R55" s="168">
        <v>183.4</v>
      </c>
      <c r="S55" s="168">
        <v>0</v>
      </c>
      <c r="T55" s="142"/>
      <c r="U55" s="142"/>
    </row>
    <row r="56" spans="1:21" ht="27" customHeight="1">
      <c r="A56" s="309" t="s">
        <v>203</v>
      </c>
      <c r="B56" s="309"/>
      <c r="C56" s="309"/>
      <c r="D56" s="309"/>
      <c r="E56" s="309"/>
      <c r="F56" s="309"/>
      <c r="G56" s="309"/>
      <c r="H56" s="309"/>
      <c r="I56" s="167">
        <v>653</v>
      </c>
      <c r="J56" s="169">
        <v>1</v>
      </c>
      <c r="K56" s="169">
        <v>13</v>
      </c>
      <c r="L56" s="170" t="s">
        <v>393</v>
      </c>
      <c r="M56" s="171">
        <v>244</v>
      </c>
      <c r="N56" s="173">
        <v>487.2</v>
      </c>
      <c r="O56" s="173">
        <v>0</v>
      </c>
      <c r="P56" s="168">
        <v>650</v>
      </c>
      <c r="Q56" s="168">
        <v>0</v>
      </c>
      <c r="R56" s="168">
        <f>513.4+92.6</f>
        <v>606</v>
      </c>
      <c r="S56" s="168">
        <v>0</v>
      </c>
      <c r="T56" s="142" t="s">
        <v>192</v>
      </c>
      <c r="U56" s="142"/>
    </row>
    <row r="57" spans="1:21" ht="30" customHeight="1">
      <c r="A57" s="309" t="s">
        <v>207</v>
      </c>
      <c r="B57" s="309"/>
      <c r="C57" s="309"/>
      <c r="D57" s="309"/>
      <c r="E57" s="309"/>
      <c r="F57" s="309"/>
      <c r="G57" s="309"/>
      <c r="H57" s="309"/>
      <c r="I57" s="167"/>
      <c r="J57" s="169">
        <v>1</v>
      </c>
      <c r="K57" s="169">
        <v>13</v>
      </c>
      <c r="L57" s="170" t="s">
        <v>393</v>
      </c>
      <c r="M57" s="171">
        <v>850</v>
      </c>
      <c r="N57" s="173">
        <f>N58</f>
        <v>25</v>
      </c>
      <c r="O57" s="173">
        <f>O58</f>
        <v>0</v>
      </c>
      <c r="P57" s="168"/>
      <c r="Q57" s="168"/>
      <c r="R57" s="168"/>
      <c r="S57" s="168"/>
      <c r="T57" s="142" t="s">
        <v>192</v>
      </c>
      <c r="U57" s="142"/>
    </row>
    <row r="58" spans="1:21" ht="30" customHeight="1">
      <c r="A58" s="310" t="s">
        <v>208</v>
      </c>
      <c r="B58" s="310"/>
      <c r="C58" s="310"/>
      <c r="D58" s="310"/>
      <c r="E58" s="310"/>
      <c r="F58" s="198"/>
      <c r="G58" s="198"/>
      <c r="H58" s="198"/>
      <c r="I58" s="167">
        <v>653</v>
      </c>
      <c r="J58" s="169">
        <v>1</v>
      </c>
      <c r="K58" s="169">
        <v>13</v>
      </c>
      <c r="L58" s="170" t="s">
        <v>393</v>
      </c>
      <c r="M58" s="171">
        <v>852</v>
      </c>
      <c r="N58" s="173">
        <v>25</v>
      </c>
      <c r="O58" s="173">
        <v>0</v>
      </c>
      <c r="P58" s="168"/>
      <c r="Q58" s="168"/>
      <c r="R58" s="168"/>
      <c r="S58" s="168"/>
      <c r="T58" s="142" t="s">
        <v>192</v>
      </c>
      <c r="U58" s="142"/>
    </row>
    <row r="59" spans="1:21" s="8" customFormat="1" ht="23.25" customHeight="1">
      <c r="A59" s="303" t="s">
        <v>295</v>
      </c>
      <c r="B59" s="303"/>
      <c r="C59" s="303"/>
      <c r="D59" s="303"/>
      <c r="E59" s="303"/>
      <c r="F59" s="303"/>
      <c r="G59" s="303"/>
      <c r="H59" s="303"/>
      <c r="I59" s="167">
        <v>653</v>
      </c>
      <c r="J59" s="180">
        <v>2</v>
      </c>
      <c r="K59" s="180">
        <v>0</v>
      </c>
      <c r="L59" s="172" t="s">
        <v>386</v>
      </c>
      <c r="M59" s="181">
        <v>0</v>
      </c>
      <c r="N59" s="233">
        <f aca="true" t="shared" si="14" ref="N59:S59">N60</f>
        <v>156</v>
      </c>
      <c r="O59" s="233">
        <f t="shared" si="14"/>
        <v>156</v>
      </c>
      <c r="P59" s="234">
        <f t="shared" si="14"/>
        <v>156</v>
      </c>
      <c r="Q59" s="234">
        <f t="shared" si="14"/>
        <v>156</v>
      </c>
      <c r="R59" s="234">
        <f t="shared" si="14"/>
        <v>156</v>
      </c>
      <c r="S59" s="234">
        <f t="shared" si="14"/>
        <v>156</v>
      </c>
      <c r="T59" s="142" t="s">
        <v>192</v>
      </c>
      <c r="U59" s="142"/>
    </row>
    <row r="60" spans="1:21" ht="19.5" customHeight="1">
      <c r="A60" s="303" t="s">
        <v>294</v>
      </c>
      <c r="B60" s="303"/>
      <c r="C60" s="303"/>
      <c r="D60" s="303"/>
      <c r="E60" s="303"/>
      <c r="F60" s="303"/>
      <c r="G60" s="303"/>
      <c r="H60" s="303"/>
      <c r="I60" s="179">
        <v>653</v>
      </c>
      <c r="J60" s="180">
        <v>2</v>
      </c>
      <c r="K60" s="180">
        <v>3</v>
      </c>
      <c r="L60" s="172" t="s">
        <v>386</v>
      </c>
      <c r="M60" s="181">
        <v>0</v>
      </c>
      <c r="N60" s="233">
        <f aca="true" t="shared" si="15" ref="N60:S60">N62</f>
        <v>156</v>
      </c>
      <c r="O60" s="233">
        <f t="shared" si="15"/>
        <v>156</v>
      </c>
      <c r="P60" s="234">
        <f t="shared" si="15"/>
        <v>156</v>
      </c>
      <c r="Q60" s="234">
        <f t="shared" si="15"/>
        <v>156</v>
      </c>
      <c r="R60" s="234">
        <f t="shared" si="15"/>
        <v>156</v>
      </c>
      <c r="S60" s="234">
        <f t="shared" si="15"/>
        <v>156</v>
      </c>
      <c r="T60" s="142"/>
      <c r="U60" s="142"/>
    </row>
    <row r="61" spans="1:21" ht="39.75" customHeight="1">
      <c r="A61" s="311" t="s">
        <v>197</v>
      </c>
      <c r="B61" s="312"/>
      <c r="C61" s="312"/>
      <c r="D61" s="313"/>
      <c r="E61" s="178"/>
      <c r="F61" s="178"/>
      <c r="G61" s="178"/>
      <c r="H61" s="178"/>
      <c r="I61" s="179">
        <v>653</v>
      </c>
      <c r="J61" s="180">
        <v>2</v>
      </c>
      <c r="K61" s="180">
        <v>3</v>
      </c>
      <c r="L61" s="172" t="s">
        <v>386</v>
      </c>
      <c r="M61" s="181">
        <v>0</v>
      </c>
      <c r="N61" s="233">
        <f aca="true" t="shared" si="16" ref="N61:S63">N62</f>
        <v>156</v>
      </c>
      <c r="O61" s="233">
        <f t="shared" si="16"/>
        <v>156</v>
      </c>
      <c r="P61" s="234">
        <f t="shared" si="16"/>
        <v>156</v>
      </c>
      <c r="Q61" s="234">
        <f t="shared" si="16"/>
        <v>156</v>
      </c>
      <c r="R61" s="234">
        <f t="shared" si="16"/>
        <v>156</v>
      </c>
      <c r="S61" s="234">
        <f t="shared" si="16"/>
        <v>156</v>
      </c>
      <c r="T61" s="142"/>
      <c r="U61" s="142"/>
    </row>
    <row r="62" spans="1:21" ht="65.25" customHeight="1">
      <c r="A62" s="309" t="s">
        <v>246</v>
      </c>
      <c r="B62" s="309"/>
      <c r="C62" s="309"/>
      <c r="D62" s="309"/>
      <c r="E62" s="309"/>
      <c r="F62" s="309"/>
      <c r="G62" s="309"/>
      <c r="H62" s="309"/>
      <c r="I62" s="167">
        <v>653</v>
      </c>
      <c r="J62" s="169">
        <v>2</v>
      </c>
      <c r="K62" s="169">
        <v>3</v>
      </c>
      <c r="L62" s="170" t="s">
        <v>395</v>
      </c>
      <c r="M62" s="171">
        <v>0</v>
      </c>
      <c r="N62" s="173">
        <f>N63</f>
        <v>156</v>
      </c>
      <c r="O62" s="173">
        <f t="shared" si="16"/>
        <v>156</v>
      </c>
      <c r="P62" s="168">
        <f t="shared" si="16"/>
        <v>156</v>
      </c>
      <c r="Q62" s="168">
        <f t="shared" si="16"/>
        <v>156</v>
      </c>
      <c r="R62" s="168">
        <f t="shared" si="16"/>
        <v>156</v>
      </c>
      <c r="S62" s="168">
        <f t="shared" si="16"/>
        <v>156</v>
      </c>
      <c r="T62" s="142" t="s">
        <v>192</v>
      </c>
      <c r="U62" s="142"/>
    </row>
    <row r="63" spans="1:21" ht="36.75" customHeight="1">
      <c r="A63" s="309" t="s">
        <v>449</v>
      </c>
      <c r="B63" s="309"/>
      <c r="C63" s="309"/>
      <c r="D63" s="309"/>
      <c r="E63" s="309"/>
      <c r="F63" s="309"/>
      <c r="G63" s="309"/>
      <c r="H63" s="309"/>
      <c r="I63" s="167"/>
      <c r="J63" s="169">
        <v>2</v>
      </c>
      <c r="K63" s="169">
        <v>3</v>
      </c>
      <c r="L63" s="171" t="s">
        <v>395</v>
      </c>
      <c r="M63" s="171">
        <v>100</v>
      </c>
      <c r="N63" s="173">
        <f>N64</f>
        <v>156</v>
      </c>
      <c r="O63" s="173">
        <f t="shared" si="16"/>
        <v>156</v>
      </c>
      <c r="P63" s="168">
        <f t="shared" si="16"/>
        <v>156</v>
      </c>
      <c r="Q63" s="168">
        <f t="shared" si="16"/>
        <v>156</v>
      </c>
      <c r="R63" s="168">
        <f t="shared" si="16"/>
        <v>156</v>
      </c>
      <c r="S63" s="168">
        <f t="shared" si="16"/>
        <v>156</v>
      </c>
      <c r="T63" s="142" t="s">
        <v>192</v>
      </c>
      <c r="U63" s="142"/>
    </row>
    <row r="64" spans="1:21" s="8" customFormat="1" ht="29.25" customHeight="1">
      <c r="A64" s="309" t="s">
        <v>201</v>
      </c>
      <c r="B64" s="309"/>
      <c r="C64" s="309"/>
      <c r="D64" s="309"/>
      <c r="E64" s="309"/>
      <c r="F64" s="309"/>
      <c r="G64" s="309"/>
      <c r="H64" s="309"/>
      <c r="I64" s="167"/>
      <c r="J64" s="169">
        <v>2</v>
      </c>
      <c r="K64" s="169">
        <v>3</v>
      </c>
      <c r="L64" s="170" t="s">
        <v>395</v>
      </c>
      <c r="M64" s="171">
        <v>120</v>
      </c>
      <c r="N64" s="173">
        <f>N65+N66</f>
        <v>156</v>
      </c>
      <c r="O64" s="173">
        <v>156</v>
      </c>
      <c r="P64" s="168">
        <f>P65</f>
        <v>156</v>
      </c>
      <c r="Q64" s="168">
        <f>Q65</f>
        <v>156</v>
      </c>
      <c r="R64" s="168">
        <f>R65</f>
        <v>156</v>
      </c>
      <c r="S64" s="168">
        <f>S65</f>
        <v>156</v>
      </c>
      <c r="T64" s="142" t="s">
        <v>192</v>
      </c>
      <c r="U64" s="142"/>
    </row>
    <row r="65" spans="1:21" s="8" customFormat="1" ht="35.25" customHeight="1">
      <c r="A65" s="309" t="s">
        <v>387</v>
      </c>
      <c r="B65" s="309"/>
      <c r="C65" s="309"/>
      <c r="D65" s="309"/>
      <c r="E65" s="309"/>
      <c r="F65" s="309"/>
      <c r="G65" s="309"/>
      <c r="H65" s="309"/>
      <c r="I65" s="167">
        <v>653</v>
      </c>
      <c r="J65" s="169">
        <v>2</v>
      </c>
      <c r="K65" s="169">
        <v>3</v>
      </c>
      <c r="L65" s="170" t="s">
        <v>395</v>
      </c>
      <c r="M65" s="171">
        <v>121</v>
      </c>
      <c r="N65" s="173">
        <v>119.8</v>
      </c>
      <c r="O65" s="173">
        <v>119.8</v>
      </c>
      <c r="P65" s="168">
        <v>156</v>
      </c>
      <c r="Q65" s="168">
        <v>156</v>
      </c>
      <c r="R65" s="239">
        <v>156</v>
      </c>
      <c r="S65" s="168">
        <v>156</v>
      </c>
      <c r="T65" s="142" t="s">
        <v>192</v>
      </c>
      <c r="U65" s="142"/>
    </row>
    <row r="66" spans="1:21" ht="48" customHeight="1">
      <c r="A66" s="306" t="s">
        <v>388</v>
      </c>
      <c r="B66" s="307"/>
      <c r="C66" s="307"/>
      <c r="D66" s="308"/>
      <c r="E66" s="198"/>
      <c r="F66" s="198"/>
      <c r="G66" s="198"/>
      <c r="H66" s="198"/>
      <c r="I66" s="167"/>
      <c r="J66" s="169">
        <v>2</v>
      </c>
      <c r="K66" s="169">
        <v>3</v>
      </c>
      <c r="L66" s="170" t="s">
        <v>395</v>
      </c>
      <c r="M66" s="171">
        <v>129</v>
      </c>
      <c r="N66" s="173">
        <v>36.2</v>
      </c>
      <c r="O66" s="173">
        <v>36.2</v>
      </c>
      <c r="P66" s="168"/>
      <c r="Q66" s="168"/>
      <c r="R66" s="239"/>
      <c r="S66" s="168"/>
      <c r="T66" s="142" t="s">
        <v>192</v>
      </c>
      <c r="U66" s="142"/>
    </row>
    <row r="67" spans="1:21" s="8" customFormat="1" ht="36.75" customHeight="1">
      <c r="A67" s="303" t="s">
        <v>293</v>
      </c>
      <c r="B67" s="303"/>
      <c r="C67" s="303"/>
      <c r="D67" s="303"/>
      <c r="E67" s="303"/>
      <c r="F67" s="303"/>
      <c r="G67" s="303"/>
      <c r="H67" s="303"/>
      <c r="I67" s="167">
        <v>653</v>
      </c>
      <c r="J67" s="180">
        <v>3</v>
      </c>
      <c r="K67" s="180">
        <v>0</v>
      </c>
      <c r="L67" s="172" t="s">
        <v>386</v>
      </c>
      <c r="M67" s="181">
        <v>0</v>
      </c>
      <c r="N67" s="233">
        <v>75.7</v>
      </c>
      <c r="O67" s="233">
        <v>16.4</v>
      </c>
      <c r="P67" s="234" t="e">
        <f>P68+P74+P85</f>
        <v>#REF!</v>
      </c>
      <c r="Q67" s="234" t="e">
        <f>Q68+Q74+Q85</f>
        <v>#REF!</v>
      </c>
      <c r="R67" s="234" t="e">
        <f>R68+R74+R85</f>
        <v>#REF!</v>
      </c>
      <c r="S67" s="234" t="e">
        <f>S68+S74+S85</f>
        <v>#REF!</v>
      </c>
      <c r="T67" s="142"/>
      <c r="U67" s="142"/>
    </row>
    <row r="68" spans="1:21" s="9" customFormat="1" ht="31.5" customHeight="1">
      <c r="A68" s="303" t="s">
        <v>320</v>
      </c>
      <c r="B68" s="303"/>
      <c r="C68" s="303"/>
      <c r="D68" s="303"/>
      <c r="E68" s="303"/>
      <c r="F68" s="303"/>
      <c r="G68" s="303"/>
      <c r="H68" s="303"/>
      <c r="I68" s="179">
        <v>653</v>
      </c>
      <c r="J68" s="180">
        <v>3</v>
      </c>
      <c r="K68" s="180">
        <v>4</v>
      </c>
      <c r="L68" s="172" t="s">
        <v>386</v>
      </c>
      <c r="M68" s="181">
        <v>0</v>
      </c>
      <c r="N68" s="233">
        <f aca="true" t="shared" si="17" ref="N68:S68">N70</f>
        <v>16.4</v>
      </c>
      <c r="O68" s="233">
        <f t="shared" si="17"/>
        <v>16.4</v>
      </c>
      <c r="P68" s="234">
        <f t="shared" si="17"/>
        <v>16.4</v>
      </c>
      <c r="Q68" s="234">
        <f t="shared" si="17"/>
        <v>16.4</v>
      </c>
      <c r="R68" s="234">
        <f t="shared" si="17"/>
        <v>16.4</v>
      </c>
      <c r="S68" s="234">
        <f t="shared" si="17"/>
        <v>16.4</v>
      </c>
      <c r="T68" s="142"/>
      <c r="U68" s="142"/>
    </row>
    <row r="69" spans="1:21" ht="50.25" customHeight="1">
      <c r="A69" s="311" t="s">
        <v>197</v>
      </c>
      <c r="B69" s="312"/>
      <c r="C69" s="312"/>
      <c r="D69" s="313"/>
      <c r="E69" s="178"/>
      <c r="F69" s="178"/>
      <c r="G69" s="178"/>
      <c r="H69" s="178"/>
      <c r="I69" s="179">
        <v>653</v>
      </c>
      <c r="J69" s="180">
        <v>3</v>
      </c>
      <c r="K69" s="180">
        <v>4</v>
      </c>
      <c r="L69" s="172" t="s">
        <v>386</v>
      </c>
      <c r="M69" s="181">
        <v>0</v>
      </c>
      <c r="N69" s="233">
        <f aca="true" t="shared" si="18" ref="N69:S71">N70</f>
        <v>16.4</v>
      </c>
      <c r="O69" s="233">
        <f t="shared" si="18"/>
        <v>16.4</v>
      </c>
      <c r="P69" s="234">
        <f t="shared" si="18"/>
        <v>16.4</v>
      </c>
      <c r="Q69" s="234">
        <f t="shared" si="18"/>
        <v>16.4</v>
      </c>
      <c r="R69" s="234">
        <f t="shared" si="18"/>
        <v>16.4</v>
      </c>
      <c r="S69" s="234">
        <f t="shared" si="18"/>
        <v>16.4</v>
      </c>
      <c r="T69" s="142" t="s">
        <v>192</v>
      </c>
      <c r="U69" s="142"/>
    </row>
    <row r="70" spans="1:21" s="8" customFormat="1" ht="66.75" customHeight="1">
      <c r="A70" s="309" t="s">
        <v>247</v>
      </c>
      <c r="B70" s="309"/>
      <c r="C70" s="309"/>
      <c r="D70" s="309"/>
      <c r="E70" s="309"/>
      <c r="F70" s="309"/>
      <c r="G70" s="309"/>
      <c r="H70" s="309"/>
      <c r="I70" s="167">
        <v>653</v>
      </c>
      <c r="J70" s="169">
        <v>3</v>
      </c>
      <c r="K70" s="169">
        <v>4</v>
      </c>
      <c r="L70" s="170" t="s">
        <v>396</v>
      </c>
      <c r="M70" s="171">
        <v>0</v>
      </c>
      <c r="N70" s="173">
        <f>N71</f>
        <v>16.4</v>
      </c>
      <c r="O70" s="173">
        <f t="shared" si="18"/>
        <v>16.4</v>
      </c>
      <c r="P70" s="168">
        <f t="shared" si="18"/>
        <v>16.4</v>
      </c>
      <c r="Q70" s="168">
        <f t="shared" si="18"/>
        <v>16.4</v>
      </c>
      <c r="R70" s="168">
        <f t="shared" si="18"/>
        <v>16.4</v>
      </c>
      <c r="S70" s="168">
        <f t="shared" si="18"/>
        <v>16.4</v>
      </c>
      <c r="T70" s="142" t="s">
        <v>192</v>
      </c>
      <c r="U70" s="142"/>
    </row>
    <row r="71" spans="1:21" s="8" customFormat="1" ht="29.25" customHeight="1">
      <c r="A71" s="309" t="s">
        <v>205</v>
      </c>
      <c r="B71" s="309"/>
      <c r="C71" s="309"/>
      <c r="D71" s="309"/>
      <c r="E71" s="309"/>
      <c r="F71" s="309"/>
      <c r="G71" s="309"/>
      <c r="H71" s="309"/>
      <c r="I71" s="167"/>
      <c r="J71" s="169">
        <v>3</v>
      </c>
      <c r="K71" s="169">
        <v>4</v>
      </c>
      <c r="L71" s="170" t="s">
        <v>396</v>
      </c>
      <c r="M71" s="171">
        <v>200</v>
      </c>
      <c r="N71" s="173">
        <f>N72</f>
        <v>16.4</v>
      </c>
      <c r="O71" s="173">
        <f t="shared" si="18"/>
        <v>16.4</v>
      </c>
      <c r="P71" s="168">
        <f t="shared" si="18"/>
        <v>16.4</v>
      </c>
      <c r="Q71" s="168">
        <f t="shared" si="18"/>
        <v>16.4</v>
      </c>
      <c r="R71" s="168">
        <f t="shared" si="18"/>
        <v>16.4</v>
      </c>
      <c r="S71" s="168">
        <f t="shared" si="18"/>
        <v>16.4</v>
      </c>
      <c r="T71" s="142" t="s">
        <v>192</v>
      </c>
      <c r="U71" s="142"/>
    </row>
    <row r="72" spans="1:21" s="8" customFormat="1" ht="39.75" customHeight="1">
      <c r="A72" s="309" t="s">
        <v>202</v>
      </c>
      <c r="B72" s="309"/>
      <c r="C72" s="309"/>
      <c r="D72" s="309"/>
      <c r="E72" s="309"/>
      <c r="F72" s="309"/>
      <c r="G72" s="309"/>
      <c r="H72" s="309"/>
      <c r="I72" s="167"/>
      <c r="J72" s="169">
        <v>3</v>
      </c>
      <c r="K72" s="169">
        <v>4</v>
      </c>
      <c r="L72" s="170" t="s">
        <v>396</v>
      </c>
      <c r="M72" s="171">
        <v>240</v>
      </c>
      <c r="N72" s="173">
        <f aca="true" t="shared" si="19" ref="N72:S72">N73</f>
        <v>16.4</v>
      </c>
      <c r="O72" s="173">
        <f t="shared" si="19"/>
        <v>16.4</v>
      </c>
      <c r="P72" s="168">
        <f t="shared" si="19"/>
        <v>16.4</v>
      </c>
      <c r="Q72" s="168">
        <f t="shared" si="19"/>
        <v>16.4</v>
      </c>
      <c r="R72" s="168">
        <f t="shared" si="19"/>
        <v>16.4</v>
      </c>
      <c r="S72" s="168">
        <f t="shared" si="19"/>
        <v>16.4</v>
      </c>
      <c r="T72" s="142" t="s">
        <v>192</v>
      </c>
      <c r="U72" s="142"/>
    </row>
    <row r="73" spans="1:21" s="8" customFormat="1" ht="30" customHeight="1">
      <c r="A73" s="309" t="s">
        <v>203</v>
      </c>
      <c r="B73" s="309"/>
      <c r="C73" s="309"/>
      <c r="D73" s="309"/>
      <c r="E73" s="309"/>
      <c r="F73" s="309"/>
      <c r="G73" s="309"/>
      <c r="H73" s="309"/>
      <c r="I73" s="167">
        <v>653</v>
      </c>
      <c r="J73" s="169">
        <v>3</v>
      </c>
      <c r="K73" s="169">
        <v>4</v>
      </c>
      <c r="L73" s="170" t="s">
        <v>396</v>
      </c>
      <c r="M73" s="171">
        <v>244</v>
      </c>
      <c r="N73" s="173">
        <v>16.4</v>
      </c>
      <c r="O73" s="173">
        <v>16.4</v>
      </c>
      <c r="P73" s="168">
        <v>16.4</v>
      </c>
      <c r="Q73" s="168">
        <v>16.4</v>
      </c>
      <c r="R73" s="239">
        <v>16.4</v>
      </c>
      <c r="S73" s="168">
        <v>16.4</v>
      </c>
      <c r="T73" s="142" t="s">
        <v>192</v>
      </c>
      <c r="U73" s="142"/>
    </row>
    <row r="74" spans="1:21" s="8" customFormat="1" ht="43.5" customHeight="1">
      <c r="A74" s="303" t="s">
        <v>292</v>
      </c>
      <c r="B74" s="303"/>
      <c r="C74" s="303"/>
      <c r="D74" s="303"/>
      <c r="E74" s="303"/>
      <c r="F74" s="303"/>
      <c r="G74" s="303"/>
      <c r="H74" s="303"/>
      <c r="I74" s="179">
        <v>653</v>
      </c>
      <c r="J74" s="180">
        <v>3</v>
      </c>
      <c r="K74" s="180">
        <v>9</v>
      </c>
      <c r="L74" s="172" t="s">
        <v>385</v>
      </c>
      <c r="M74" s="181">
        <v>0</v>
      </c>
      <c r="N74" s="233">
        <v>46.9</v>
      </c>
      <c r="O74" s="233">
        <v>0</v>
      </c>
      <c r="P74" s="234" t="e">
        <f>P81+#REF!</f>
        <v>#REF!</v>
      </c>
      <c r="Q74" s="234" t="e">
        <f>Q81+#REF!</f>
        <v>#REF!</v>
      </c>
      <c r="R74" s="234" t="e">
        <f>R81+#REF!</f>
        <v>#REF!</v>
      </c>
      <c r="S74" s="234" t="e">
        <f>S81+#REF!</f>
        <v>#REF!</v>
      </c>
      <c r="T74" s="142"/>
      <c r="U74" s="142"/>
    </row>
    <row r="75" spans="1:21" s="8" customFormat="1" ht="43.5" customHeight="1">
      <c r="A75" s="304" t="s">
        <v>215</v>
      </c>
      <c r="B75" s="304"/>
      <c r="C75" s="304"/>
      <c r="D75" s="304"/>
      <c r="E75" s="198"/>
      <c r="F75" s="198"/>
      <c r="G75" s="198"/>
      <c r="H75" s="198"/>
      <c r="I75" s="167"/>
      <c r="J75" s="169">
        <v>3</v>
      </c>
      <c r="K75" s="169">
        <v>9</v>
      </c>
      <c r="L75" s="170" t="s">
        <v>399</v>
      </c>
      <c r="M75" s="171">
        <v>0</v>
      </c>
      <c r="N75" s="173">
        <v>15.4</v>
      </c>
      <c r="O75" s="173">
        <v>0</v>
      </c>
      <c r="P75" s="234"/>
      <c r="Q75" s="234"/>
      <c r="R75" s="234"/>
      <c r="S75" s="234"/>
      <c r="T75" s="142"/>
      <c r="U75" s="142"/>
    </row>
    <row r="76" spans="1:21" s="8" customFormat="1" ht="54.75" customHeight="1">
      <c r="A76" s="309" t="s">
        <v>415</v>
      </c>
      <c r="B76" s="309"/>
      <c r="C76" s="309"/>
      <c r="D76" s="309"/>
      <c r="E76" s="309"/>
      <c r="F76" s="309"/>
      <c r="G76" s="309"/>
      <c r="H76" s="309"/>
      <c r="I76" s="167">
        <v>653</v>
      </c>
      <c r="J76" s="169">
        <v>3</v>
      </c>
      <c r="K76" s="169">
        <v>9</v>
      </c>
      <c r="L76" s="170" t="s">
        <v>457</v>
      </c>
      <c r="M76" s="171">
        <v>0</v>
      </c>
      <c r="N76" s="173">
        <f>N79</f>
        <v>15.4</v>
      </c>
      <c r="O76" s="173">
        <f>O79</f>
        <v>0</v>
      </c>
      <c r="P76" s="234"/>
      <c r="Q76" s="234"/>
      <c r="R76" s="234"/>
      <c r="S76" s="234"/>
      <c r="T76" s="142"/>
      <c r="U76" s="142"/>
    </row>
    <row r="77" spans="1:21" s="8" customFormat="1" ht="43.5" customHeight="1">
      <c r="A77" s="309" t="s">
        <v>205</v>
      </c>
      <c r="B77" s="309"/>
      <c r="C77" s="309"/>
      <c r="D77" s="309"/>
      <c r="E77" s="309"/>
      <c r="F77" s="309"/>
      <c r="G77" s="309"/>
      <c r="H77" s="309"/>
      <c r="I77" s="167"/>
      <c r="J77" s="169">
        <v>3</v>
      </c>
      <c r="K77" s="169">
        <v>9</v>
      </c>
      <c r="L77" s="170" t="s">
        <v>457</v>
      </c>
      <c r="M77" s="171">
        <v>200</v>
      </c>
      <c r="N77" s="173">
        <f>N78</f>
        <v>15.4</v>
      </c>
      <c r="O77" s="173">
        <f>O78</f>
        <v>0</v>
      </c>
      <c r="P77" s="234"/>
      <c r="Q77" s="234"/>
      <c r="R77" s="234"/>
      <c r="S77" s="234"/>
      <c r="T77" s="142"/>
      <c r="U77" s="142"/>
    </row>
    <row r="78" spans="1:21" s="8" customFormat="1" ht="43.5" customHeight="1">
      <c r="A78" s="309" t="s">
        <v>202</v>
      </c>
      <c r="B78" s="309"/>
      <c r="C78" s="309"/>
      <c r="D78" s="309"/>
      <c r="E78" s="309"/>
      <c r="F78" s="309"/>
      <c r="G78" s="309"/>
      <c r="H78" s="309"/>
      <c r="I78" s="167"/>
      <c r="J78" s="169">
        <v>3</v>
      </c>
      <c r="K78" s="169">
        <v>9</v>
      </c>
      <c r="L78" s="170" t="s">
        <v>457</v>
      </c>
      <c r="M78" s="171">
        <v>240</v>
      </c>
      <c r="N78" s="173">
        <f>N79</f>
        <v>15.4</v>
      </c>
      <c r="O78" s="173">
        <f>O79</f>
        <v>0</v>
      </c>
      <c r="P78" s="234"/>
      <c r="Q78" s="234"/>
      <c r="R78" s="234"/>
      <c r="S78" s="234"/>
      <c r="T78" s="142"/>
      <c r="U78" s="142"/>
    </row>
    <row r="79" spans="1:21" s="8" customFormat="1" ht="43.5" customHeight="1">
      <c r="A79" s="309" t="s">
        <v>203</v>
      </c>
      <c r="B79" s="309"/>
      <c r="C79" s="309"/>
      <c r="D79" s="309"/>
      <c r="E79" s="309"/>
      <c r="F79" s="309"/>
      <c r="G79" s="309"/>
      <c r="H79" s="309"/>
      <c r="I79" s="167">
        <v>653</v>
      </c>
      <c r="J79" s="169">
        <v>3</v>
      </c>
      <c r="K79" s="169">
        <v>9</v>
      </c>
      <c r="L79" s="170" t="s">
        <v>457</v>
      </c>
      <c r="M79" s="171">
        <v>244</v>
      </c>
      <c r="N79" s="173">
        <v>15.4</v>
      </c>
      <c r="O79" s="173">
        <v>0</v>
      </c>
      <c r="P79" s="234"/>
      <c r="Q79" s="234"/>
      <c r="R79" s="234"/>
      <c r="S79" s="234"/>
      <c r="T79" s="142"/>
      <c r="U79" s="142"/>
    </row>
    <row r="80" spans="1:21" ht="57.75" customHeight="1">
      <c r="A80" s="304" t="s">
        <v>238</v>
      </c>
      <c r="B80" s="304"/>
      <c r="C80" s="304"/>
      <c r="D80" s="304"/>
      <c r="E80" s="178"/>
      <c r="F80" s="178"/>
      <c r="G80" s="178"/>
      <c r="H80" s="178"/>
      <c r="I80" s="179">
        <v>653</v>
      </c>
      <c r="J80" s="180">
        <v>3</v>
      </c>
      <c r="K80" s="180">
        <v>9</v>
      </c>
      <c r="L80" s="172" t="s">
        <v>398</v>
      </c>
      <c r="M80" s="181">
        <v>0</v>
      </c>
      <c r="N80" s="233">
        <f aca="true" t="shared" si="20" ref="N80:S82">N81</f>
        <v>31.5</v>
      </c>
      <c r="O80" s="233">
        <f t="shared" si="20"/>
        <v>0</v>
      </c>
      <c r="P80" s="234">
        <f t="shared" si="20"/>
        <v>31.5</v>
      </c>
      <c r="Q80" s="234">
        <f t="shared" si="20"/>
        <v>0</v>
      </c>
      <c r="R80" s="234">
        <f t="shared" si="20"/>
        <v>0</v>
      </c>
      <c r="S80" s="234">
        <f t="shared" si="20"/>
        <v>0</v>
      </c>
      <c r="T80" s="142"/>
      <c r="U80" s="142"/>
    </row>
    <row r="81" spans="1:21" s="8" customFormat="1" ht="80.25" customHeight="1">
      <c r="A81" s="309" t="s">
        <v>257</v>
      </c>
      <c r="B81" s="309"/>
      <c r="C81" s="309"/>
      <c r="D81" s="309"/>
      <c r="E81" s="309"/>
      <c r="F81" s="309"/>
      <c r="G81" s="309"/>
      <c r="H81" s="309"/>
      <c r="I81" s="167">
        <v>653</v>
      </c>
      <c r="J81" s="169">
        <v>3</v>
      </c>
      <c r="K81" s="169">
        <v>9</v>
      </c>
      <c r="L81" s="170" t="s">
        <v>416</v>
      </c>
      <c r="M81" s="171">
        <v>0</v>
      </c>
      <c r="N81" s="173">
        <f>N82</f>
        <v>31.5</v>
      </c>
      <c r="O81" s="173">
        <f t="shared" si="20"/>
        <v>0</v>
      </c>
      <c r="P81" s="168">
        <f t="shared" si="20"/>
        <v>31.5</v>
      </c>
      <c r="Q81" s="168">
        <f t="shared" si="20"/>
        <v>0</v>
      </c>
      <c r="R81" s="168">
        <f t="shared" si="20"/>
        <v>0</v>
      </c>
      <c r="S81" s="168">
        <f t="shared" si="20"/>
        <v>0</v>
      </c>
      <c r="T81" s="142" t="s">
        <v>192</v>
      </c>
      <c r="U81" s="142"/>
    </row>
    <row r="82" spans="1:21" s="8" customFormat="1" ht="33.75" customHeight="1">
      <c r="A82" s="309" t="s">
        <v>205</v>
      </c>
      <c r="B82" s="309"/>
      <c r="C82" s="309"/>
      <c r="D82" s="309"/>
      <c r="E82" s="309"/>
      <c r="F82" s="309"/>
      <c r="G82" s="309"/>
      <c r="H82" s="309"/>
      <c r="I82" s="167"/>
      <c r="J82" s="169">
        <v>3</v>
      </c>
      <c r="K82" s="169">
        <v>9</v>
      </c>
      <c r="L82" s="170" t="s">
        <v>416</v>
      </c>
      <c r="M82" s="171">
        <v>200</v>
      </c>
      <c r="N82" s="173">
        <f>N83</f>
        <v>31.5</v>
      </c>
      <c r="O82" s="173">
        <f t="shared" si="20"/>
        <v>0</v>
      </c>
      <c r="P82" s="168">
        <f t="shared" si="20"/>
        <v>31.5</v>
      </c>
      <c r="Q82" s="168">
        <f t="shared" si="20"/>
        <v>0</v>
      </c>
      <c r="R82" s="168">
        <f t="shared" si="20"/>
        <v>0</v>
      </c>
      <c r="S82" s="168">
        <f t="shared" si="20"/>
        <v>0</v>
      </c>
      <c r="T82" s="142" t="s">
        <v>192</v>
      </c>
      <c r="U82" s="142"/>
    </row>
    <row r="83" spans="1:21" s="8" customFormat="1" ht="28.5" customHeight="1">
      <c r="A83" s="309" t="s">
        <v>202</v>
      </c>
      <c r="B83" s="309"/>
      <c r="C83" s="309"/>
      <c r="D83" s="309"/>
      <c r="E83" s="309"/>
      <c r="F83" s="309"/>
      <c r="G83" s="309"/>
      <c r="H83" s="309"/>
      <c r="I83" s="167"/>
      <c r="J83" s="169">
        <v>3</v>
      </c>
      <c r="K83" s="169">
        <v>9</v>
      </c>
      <c r="L83" s="170" t="s">
        <v>416</v>
      </c>
      <c r="M83" s="171">
        <v>240</v>
      </c>
      <c r="N83" s="173">
        <f aca="true" t="shared" si="21" ref="N83:S83">N84</f>
        <v>31.5</v>
      </c>
      <c r="O83" s="173">
        <f t="shared" si="21"/>
        <v>0</v>
      </c>
      <c r="P83" s="168">
        <f t="shared" si="21"/>
        <v>31.5</v>
      </c>
      <c r="Q83" s="168">
        <f t="shared" si="21"/>
        <v>0</v>
      </c>
      <c r="R83" s="168">
        <f t="shared" si="21"/>
        <v>0</v>
      </c>
      <c r="S83" s="168">
        <f t="shared" si="21"/>
        <v>0</v>
      </c>
      <c r="T83" s="142" t="s">
        <v>192</v>
      </c>
      <c r="U83" s="142"/>
    </row>
    <row r="84" spans="1:21" s="8" customFormat="1" ht="28.5" customHeight="1">
      <c r="A84" s="309" t="s">
        <v>203</v>
      </c>
      <c r="B84" s="309"/>
      <c r="C84" s="309"/>
      <c r="D84" s="309"/>
      <c r="E84" s="309"/>
      <c r="F84" s="309"/>
      <c r="G84" s="309"/>
      <c r="H84" s="309"/>
      <c r="I84" s="167">
        <v>653</v>
      </c>
      <c r="J84" s="169">
        <v>3</v>
      </c>
      <c r="K84" s="169">
        <v>9</v>
      </c>
      <c r="L84" s="170" t="s">
        <v>416</v>
      </c>
      <c r="M84" s="171">
        <v>244</v>
      </c>
      <c r="N84" s="173">
        <v>31.5</v>
      </c>
      <c r="O84" s="173">
        <v>0</v>
      </c>
      <c r="P84" s="168">
        <v>31.5</v>
      </c>
      <c r="Q84" s="168">
        <v>0</v>
      </c>
      <c r="R84" s="239">
        <v>0</v>
      </c>
      <c r="S84" s="168">
        <v>0</v>
      </c>
      <c r="T84" s="142" t="s">
        <v>192</v>
      </c>
      <c r="U84" s="142"/>
    </row>
    <row r="85" spans="1:21" s="8" customFormat="1" ht="33" customHeight="1">
      <c r="A85" s="303" t="s">
        <v>319</v>
      </c>
      <c r="B85" s="303"/>
      <c r="C85" s="303"/>
      <c r="D85" s="303"/>
      <c r="E85" s="303"/>
      <c r="F85" s="303"/>
      <c r="G85" s="303"/>
      <c r="H85" s="303"/>
      <c r="I85" s="179">
        <v>653</v>
      </c>
      <c r="J85" s="180">
        <v>3</v>
      </c>
      <c r="K85" s="180">
        <v>14</v>
      </c>
      <c r="L85" s="172" t="s">
        <v>385</v>
      </c>
      <c r="M85" s="181">
        <v>0</v>
      </c>
      <c r="N85" s="233">
        <f aca="true" t="shared" si="22" ref="N85:S85">N87+N91</f>
        <v>12.428999999999998</v>
      </c>
      <c r="O85" s="233">
        <f t="shared" si="22"/>
        <v>0</v>
      </c>
      <c r="P85" s="234">
        <f t="shared" si="22"/>
        <v>12.399999999999999</v>
      </c>
      <c r="Q85" s="234">
        <f t="shared" si="22"/>
        <v>3.8</v>
      </c>
      <c r="R85" s="234">
        <f t="shared" si="22"/>
        <v>5.42</v>
      </c>
      <c r="S85" s="234">
        <f t="shared" si="22"/>
        <v>3.8</v>
      </c>
      <c r="T85" s="142"/>
      <c r="U85" s="142"/>
    </row>
    <row r="86" spans="1:21" ht="42.75" customHeight="1">
      <c r="A86" s="304" t="s">
        <v>214</v>
      </c>
      <c r="B86" s="304"/>
      <c r="C86" s="304"/>
      <c r="D86" s="304"/>
      <c r="E86" s="178"/>
      <c r="F86" s="178"/>
      <c r="G86" s="178"/>
      <c r="H86" s="178"/>
      <c r="I86" s="179">
        <v>653</v>
      </c>
      <c r="J86" s="180">
        <v>3</v>
      </c>
      <c r="K86" s="180">
        <v>14</v>
      </c>
      <c r="L86" s="172" t="s">
        <v>400</v>
      </c>
      <c r="M86" s="181">
        <v>0</v>
      </c>
      <c r="N86" s="233">
        <f aca="true" t="shared" si="23" ref="N86:S86">N87+N91</f>
        <v>12.428999999999998</v>
      </c>
      <c r="O86" s="233">
        <f t="shared" si="23"/>
        <v>0</v>
      </c>
      <c r="P86" s="234">
        <f t="shared" si="23"/>
        <v>12.399999999999999</v>
      </c>
      <c r="Q86" s="234">
        <f t="shared" si="23"/>
        <v>3.8</v>
      </c>
      <c r="R86" s="234">
        <f t="shared" si="23"/>
        <v>5.42</v>
      </c>
      <c r="S86" s="234">
        <f t="shared" si="23"/>
        <v>3.8</v>
      </c>
      <c r="T86" s="142"/>
      <c r="U86" s="142"/>
    </row>
    <row r="87" spans="1:21" s="8" customFormat="1" ht="63.75" customHeight="1">
      <c r="A87" s="309" t="s">
        <v>458</v>
      </c>
      <c r="B87" s="309"/>
      <c r="C87" s="309"/>
      <c r="D87" s="309"/>
      <c r="E87" s="309"/>
      <c r="F87" s="309"/>
      <c r="G87" s="309"/>
      <c r="H87" s="309"/>
      <c r="I87" s="167">
        <v>653</v>
      </c>
      <c r="J87" s="169">
        <v>3</v>
      </c>
      <c r="K87" s="169">
        <v>14</v>
      </c>
      <c r="L87" s="241" t="s">
        <v>456</v>
      </c>
      <c r="M87" s="171">
        <v>0</v>
      </c>
      <c r="N87" s="173">
        <f aca="true" t="shared" si="24" ref="N87:S87">N90</f>
        <v>8.7</v>
      </c>
      <c r="O87" s="173">
        <f t="shared" si="24"/>
        <v>0</v>
      </c>
      <c r="P87" s="168">
        <f t="shared" si="24"/>
        <v>8.7</v>
      </c>
      <c r="Q87" s="168">
        <f t="shared" si="24"/>
        <v>3.8</v>
      </c>
      <c r="R87" s="168">
        <f t="shared" si="24"/>
        <v>3.8</v>
      </c>
      <c r="S87" s="168">
        <f t="shared" si="24"/>
        <v>3.8</v>
      </c>
      <c r="T87" s="142"/>
      <c r="U87" s="142"/>
    </row>
    <row r="88" spans="1:21" s="8" customFormat="1" ht="26.25" customHeight="1">
      <c r="A88" s="309" t="s">
        <v>205</v>
      </c>
      <c r="B88" s="309"/>
      <c r="C88" s="309"/>
      <c r="D88" s="309"/>
      <c r="E88" s="309"/>
      <c r="F88" s="309"/>
      <c r="G88" s="309"/>
      <c r="H88" s="309"/>
      <c r="I88" s="167"/>
      <c r="J88" s="169">
        <v>3</v>
      </c>
      <c r="K88" s="169">
        <v>14</v>
      </c>
      <c r="L88" s="241" t="s">
        <v>456</v>
      </c>
      <c r="M88" s="171">
        <v>200</v>
      </c>
      <c r="N88" s="173">
        <f aca="true" t="shared" si="25" ref="N88:S89">N89</f>
        <v>8.7</v>
      </c>
      <c r="O88" s="173">
        <f>O89</f>
        <v>0</v>
      </c>
      <c r="P88" s="168">
        <f>P89</f>
        <v>8.7</v>
      </c>
      <c r="Q88" s="168">
        <f>Q89</f>
        <v>3.8</v>
      </c>
      <c r="R88" s="168">
        <f>R89</f>
        <v>3.8</v>
      </c>
      <c r="S88" s="168">
        <f>S89</f>
        <v>3.8</v>
      </c>
      <c r="T88" s="142"/>
      <c r="U88" s="142"/>
    </row>
    <row r="89" spans="1:21" s="8" customFormat="1" ht="30" customHeight="1">
      <c r="A89" s="309" t="s">
        <v>202</v>
      </c>
      <c r="B89" s="309"/>
      <c r="C89" s="309"/>
      <c r="D89" s="309"/>
      <c r="E89" s="309"/>
      <c r="F89" s="309"/>
      <c r="G89" s="309"/>
      <c r="H89" s="309"/>
      <c r="I89" s="167"/>
      <c r="J89" s="169">
        <v>3</v>
      </c>
      <c r="K89" s="169">
        <v>14</v>
      </c>
      <c r="L89" s="241" t="s">
        <v>456</v>
      </c>
      <c r="M89" s="171">
        <v>240</v>
      </c>
      <c r="N89" s="173">
        <f t="shared" si="25"/>
        <v>8.7</v>
      </c>
      <c r="O89" s="173">
        <v>0</v>
      </c>
      <c r="P89" s="168">
        <f t="shared" si="25"/>
        <v>8.7</v>
      </c>
      <c r="Q89" s="168">
        <f t="shared" si="25"/>
        <v>3.8</v>
      </c>
      <c r="R89" s="168">
        <f t="shared" si="25"/>
        <v>3.8</v>
      </c>
      <c r="S89" s="168">
        <f t="shared" si="25"/>
        <v>3.8</v>
      </c>
      <c r="T89" s="142"/>
      <c r="U89" s="142"/>
    </row>
    <row r="90" spans="1:21" s="8" customFormat="1" ht="30.75" customHeight="1">
      <c r="A90" s="309" t="s">
        <v>203</v>
      </c>
      <c r="B90" s="309"/>
      <c r="C90" s="309"/>
      <c r="D90" s="309"/>
      <c r="E90" s="309"/>
      <c r="F90" s="309"/>
      <c r="G90" s="309"/>
      <c r="H90" s="309"/>
      <c r="I90" s="167">
        <v>653</v>
      </c>
      <c r="J90" s="169">
        <v>3</v>
      </c>
      <c r="K90" s="169">
        <v>14</v>
      </c>
      <c r="L90" s="241" t="s">
        <v>456</v>
      </c>
      <c r="M90" s="171">
        <v>244</v>
      </c>
      <c r="N90" s="173">
        <v>8.7</v>
      </c>
      <c r="O90" s="173">
        <v>0</v>
      </c>
      <c r="P90" s="168">
        <v>8.7</v>
      </c>
      <c r="Q90" s="168">
        <v>3.8</v>
      </c>
      <c r="R90" s="239">
        <v>3.8</v>
      </c>
      <c r="S90" s="168">
        <v>3.8</v>
      </c>
      <c r="T90" s="142"/>
      <c r="U90" s="142"/>
    </row>
    <row r="91" spans="1:21" s="8" customFormat="1" ht="100.5" customHeight="1">
      <c r="A91" s="309" t="s">
        <v>459</v>
      </c>
      <c r="B91" s="309"/>
      <c r="C91" s="309"/>
      <c r="D91" s="309"/>
      <c r="E91" s="309"/>
      <c r="F91" s="309"/>
      <c r="G91" s="309"/>
      <c r="H91" s="309"/>
      <c r="I91" s="167">
        <v>653</v>
      </c>
      <c r="J91" s="169">
        <v>3</v>
      </c>
      <c r="K91" s="169">
        <v>14</v>
      </c>
      <c r="L91" s="241" t="s">
        <v>455</v>
      </c>
      <c r="M91" s="171">
        <v>0</v>
      </c>
      <c r="N91" s="173">
        <f aca="true" t="shared" si="26" ref="N91:S91">N94</f>
        <v>3.729</v>
      </c>
      <c r="O91" s="173">
        <f t="shared" si="26"/>
        <v>0</v>
      </c>
      <c r="P91" s="168">
        <f t="shared" si="26"/>
        <v>3.7</v>
      </c>
      <c r="Q91" s="168">
        <f t="shared" si="26"/>
        <v>0</v>
      </c>
      <c r="R91" s="168">
        <f t="shared" si="26"/>
        <v>1.62</v>
      </c>
      <c r="S91" s="168">
        <f t="shared" si="26"/>
        <v>0</v>
      </c>
      <c r="T91" s="142"/>
      <c r="U91" s="142"/>
    </row>
    <row r="92" spans="1:21" s="8" customFormat="1" ht="29.25" customHeight="1">
      <c r="A92" s="309" t="s">
        <v>205</v>
      </c>
      <c r="B92" s="309"/>
      <c r="C92" s="309"/>
      <c r="D92" s="309"/>
      <c r="E92" s="309"/>
      <c r="F92" s="309"/>
      <c r="G92" s="309"/>
      <c r="H92" s="309"/>
      <c r="I92" s="167"/>
      <c r="J92" s="169">
        <v>3</v>
      </c>
      <c r="K92" s="169">
        <v>14</v>
      </c>
      <c r="L92" s="241" t="s">
        <v>455</v>
      </c>
      <c r="M92" s="171">
        <v>200</v>
      </c>
      <c r="N92" s="173">
        <f aca="true" t="shared" si="27" ref="N92:S93">N93</f>
        <v>3.729</v>
      </c>
      <c r="O92" s="173">
        <f>O93</f>
        <v>0</v>
      </c>
      <c r="P92" s="168">
        <f>P93</f>
        <v>3.7</v>
      </c>
      <c r="Q92" s="168">
        <f>Q93</f>
        <v>0</v>
      </c>
      <c r="R92" s="168">
        <f>R93</f>
        <v>1.62</v>
      </c>
      <c r="S92" s="168">
        <f>S93</f>
        <v>0</v>
      </c>
      <c r="T92" s="142"/>
      <c r="U92" s="142"/>
    </row>
    <row r="93" spans="1:21" s="8" customFormat="1" ht="28.5" customHeight="1">
      <c r="A93" s="309" t="s">
        <v>202</v>
      </c>
      <c r="B93" s="309"/>
      <c r="C93" s="309"/>
      <c r="D93" s="309"/>
      <c r="E93" s="309"/>
      <c r="F93" s="309"/>
      <c r="G93" s="309"/>
      <c r="H93" s="309"/>
      <c r="I93" s="167"/>
      <c r="J93" s="169">
        <v>3</v>
      </c>
      <c r="K93" s="169">
        <v>14</v>
      </c>
      <c r="L93" s="241" t="s">
        <v>455</v>
      </c>
      <c r="M93" s="171">
        <v>240</v>
      </c>
      <c r="N93" s="173">
        <f t="shared" si="27"/>
        <v>3.729</v>
      </c>
      <c r="O93" s="173">
        <f t="shared" si="27"/>
        <v>0</v>
      </c>
      <c r="P93" s="168">
        <f t="shared" si="27"/>
        <v>3.7</v>
      </c>
      <c r="Q93" s="168">
        <f t="shared" si="27"/>
        <v>0</v>
      </c>
      <c r="R93" s="168">
        <f t="shared" si="27"/>
        <v>1.62</v>
      </c>
      <c r="S93" s="168">
        <f t="shared" si="27"/>
        <v>0</v>
      </c>
      <c r="T93" s="142"/>
      <c r="U93" s="142"/>
    </row>
    <row r="94" spans="1:21" s="8" customFormat="1" ht="30.75" customHeight="1">
      <c r="A94" s="309" t="s">
        <v>314</v>
      </c>
      <c r="B94" s="309"/>
      <c r="C94" s="309"/>
      <c r="D94" s="309"/>
      <c r="E94" s="309"/>
      <c r="F94" s="309"/>
      <c r="G94" s="309"/>
      <c r="H94" s="309"/>
      <c r="I94" s="167">
        <v>653</v>
      </c>
      <c r="J94" s="169">
        <v>3</v>
      </c>
      <c r="K94" s="169">
        <v>14</v>
      </c>
      <c r="L94" s="241" t="s">
        <v>455</v>
      </c>
      <c r="M94" s="171">
        <v>244</v>
      </c>
      <c r="N94" s="173">
        <v>3.729</v>
      </c>
      <c r="O94" s="173">
        <v>0</v>
      </c>
      <c r="P94" s="168">
        <v>3.7</v>
      </c>
      <c r="Q94" s="168">
        <v>0</v>
      </c>
      <c r="R94" s="239">
        <v>1.62</v>
      </c>
      <c r="S94" s="168">
        <v>0</v>
      </c>
      <c r="T94" s="142"/>
      <c r="U94" s="142"/>
    </row>
    <row r="95" spans="1:21" ht="29.25" customHeight="1">
      <c r="A95" s="303" t="s">
        <v>291</v>
      </c>
      <c r="B95" s="303"/>
      <c r="C95" s="303"/>
      <c r="D95" s="303"/>
      <c r="E95" s="303"/>
      <c r="F95" s="303"/>
      <c r="G95" s="303"/>
      <c r="H95" s="303"/>
      <c r="I95" s="179">
        <v>653</v>
      </c>
      <c r="J95" s="180">
        <v>4</v>
      </c>
      <c r="K95" s="180">
        <v>0</v>
      </c>
      <c r="L95" s="172" t="s">
        <v>385</v>
      </c>
      <c r="M95" s="181">
        <v>0</v>
      </c>
      <c r="N95" s="233">
        <v>4830</v>
      </c>
      <c r="O95" s="233">
        <v>0</v>
      </c>
      <c r="P95" s="234" t="e">
        <f>P96+#REF!</f>
        <v>#REF!</v>
      </c>
      <c r="Q95" s="234" t="e">
        <f>Q96+#REF!</f>
        <v>#REF!</v>
      </c>
      <c r="R95" s="234" t="e">
        <f>R96+#REF!</f>
        <v>#REF!</v>
      </c>
      <c r="S95" s="234" t="e">
        <f>S96+#REF!</f>
        <v>#REF!</v>
      </c>
      <c r="T95" s="142"/>
      <c r="U95" s="142"/>
    </row>
    <row r="96" spans="1:21" ht="19.5" customHeight="1">
      <c r="A96" s="303" t="s">
        <v>8</v>
      </c>
      <c r="B96" s="303"/>
      <c r="C96" s="303"/>
      <c r="D96" s="303"/>
      <c r="E96" s="303"/>
      <c r="F96" s="303"/>
      <c r="G96" s="303"/>
      <c r="H96" s="303"/>
      <c r="I96" s="179">
        <v>653</v>
      </c>
      <c r="J96" s="180">
        <v>4</v>
      </c>
      <c r="K96" s="180">
        <v>9</v>
      </c>
      <c r="L96" s="172" t="s">
        <v>385</v>
      </c>
      <c r="M96" s="181">
        <v>0</v>
      </c>
      <c r="N96" s="233">
        <v>3529</v>
      </c>
      <c r="O96" s="233">
        <f>O102</f>
        <v>0</v>
      </c>
      <c r="P96" s="234">
        <f>P102</f>
        <v>3693</v>
      </c>
      <c r="Q96" s="234">
        <f>Q102</f>
        <v>0</v>
      </c>
      <c r="R96" s="234">
        <f>R102</f>
        <v>3878</v>
      </c>
      <c r="S96" s="234">
        <f>S102</f>
        <v>0</v>
      </c>
      <c r="T96" s="142"/>
      <c r="U96" s="142"/>
    </row>
    <row r="97" spans="1:21" ht="40.5" customHeight="1">
      <c r="A97" s="304" t="s">
        <v>419</v>
      </c>
      <c r="B97" s="304"/>
      <c r="C97" s="304"/>
      <c r="D97" s="304"/>
      <c r="E97" s="178"/>
      <c r="F97" s="178"/>
      <c r="G97" s="178"/>
      <c r="H97" s="178"/>
      <c r="I97" s="179">
        <v>653</v>
      </c>
      <c r="J97" s="180">
        <v>4</v>
      </c>
      <c r="K97" s="180">
        <v>9</v>
      </c>
      <c r="L97" s="172" t="s">
        <v>397</v>
      </c>
      <c r="M97" s="181">
        <v>0</v>
      </c>
      <c r="N97" s="233">
        <v>3529</v>
      </c>
      <c r="O97" s="233">
        <f>O102</f>
        <v>0</v>
      </c>
      <c r="P97" s="234">
        <f>P102</f>
        <v>3693</v>
      </c>
      <c r="Q97" s="234">
        <f>Q102</f>
        <v>0</v>
      </c>
      <c r="R97" s="234">
        <f>R102</f>
        <v>3878</v>
      </c>
      <c r="S97" s="234">
        <f>S102</f>
        <v>0</v>
      </c>
      <c r="T97" s="142"/>
      <c r="U97" s="142"/>
    </row>
    <row r="98" spans="1:21" ht="38.25" customHeight="1">
      <c r="A98" s="314" t="s">
        <v>213</v>
      </c>
      <c r="B98" s="315"/>
      <c r="C98" s="315"/>
      <c r="D98" s="316"/>
      <c r="E98" s="178"/>
      <c r="F98" s="178"/>
      <c r="G98" s="178"/>
      <c r="H98" s="178"/>
      <c r="I98" s="179"/>
      <c r="J98" s="180">
        <v>4</v>
      </c>
      <c r="K98" s="180">
        <v>9</v>
      </c>
      <c r="L98" s="172" t="s">
        <v>420</v>
      </c>
      <c r="M98" s="181">
        <v>0</v>
      </c>
      <c r="N98" s="233">
        <v>2201.7</v>
      </c>
      <c r="O98" s="233">
        <v>0</v>
      </c>
      <c r="P98" s="234"/>
      <c r="Q98" s="234"/>
      <c r="R98" s="234"/>
      <c r="S98" s="234"/>
      <c r="T98" s="142" t="s">
        <v>192</v>
      </c>
      <c r="U98" s="142"/>
    </row>
    <row r="99" spans="1:21" ht="27.75" customHeight="1">
      <c r="A99" s="309" t="s">
        <v>205</v>
      </c>
      <c r="B99" s="309"/>
      <c r="C99" s="309"/>
      <c r="D99" s="309"/>
      <c r="E99" s="309"/>
      <c r="F99" s="309"/>
      <c r="G99" s="309"/>
      <c r="H99" s="309"/>
      <c r="I99" s="167"/>
      <c r="J99" s="169">
        <v>4</v>
      </c>
      <c r="K99" s="169">
        <v>9</v>
      </c>
      <c r="L99" s="172" t="s">
        <v>420</v>
      </c>
      <c r="M99" s="171">
        <v>200</v>
      </c>
      <c r="N99" s="173">
        <v>2201.7</v>
      </c>
      <c r="O99" s="173">
        <f>O100</f>
        <v>0</v>
      </c>
      <c r="P99" s="234"/>
      <c r="Q99" s="234"/>
      <c r="R99" s="234"/>
      <c r="S99" s="234"/>
      <c r="T99" s="142" t="s">
        <v>192</v>
      </c>
      <c r="U99" s="142"/>
    </row>
    <row r="100" spans="1:21" ht="27.75" customHeight="1">
      <c r="A100" s="309" t="s">
        <v>202</v>
      </c>
      <c r="B100" s="309"/>
      <c r="C100" s="309"/>
      <c r="D100" s="309"/>
      <c r="E100" s="309"/>
      <c r="F100" s="309"/>
      <c r="G100" s="309"/>
      <c r="H100" s="309"/>
      <c r="I100" s="167"/>
      <c r="J100" s="169">
        <v>4</v>
      </c>
      <c r="K100" s="169">
        <v>9</v>
      </c>
      <c r="L100" s="172" t="s">
        <v>420</v>
      </c>
      <c r="M100" s="171">
        <v>240</v>
      </c>
      <c r="N100" s="173">
        <v>2201.7</v>
      </c>
      <c r="O100" s="173">
        <f>O101</f>
        <v>0</v>
      </c>
      <c r="P100" s="234"/>
      <c r="Q100" s="234"/>
      <c r="R100" s="234"/>
      <c r="S100" s="234"/>
      <c r="T100" s="142" t="s">
        <v>192</v>
      </c>
      <c r="U100" s="142"/>
    </row>
    <row r="101" spans="1:21" ht="26.25" customHeight="1">
      <c r="A101" s="309" t="s">
        <v>314</v>
      </c>
      <c r="B101" s="309"/>
      <c r="C101" s="309"/>
      <c r="D101" s="309"/>
      <c r="E101" s="309"/>
      <c r="F101" s="309"/>
      <c r="G101" s="309"/>
      <c r="H101" s="309"/>
      <c r="I101" s="167">
        <v>653</v>
      </c>
      <c r="J101" s="169">
        <v>4</v>
      </c>
      <c r="K101" s="169">
        <v>9</v>
      </c>
      <c r="L101" s="172" t="s">
        <v>420</v>
      </c>
      <c r="M101" s="171">
        <v>244</v>
      </c>
      <c r="N101" s="173">
        <v>2201.7</v>
      </c>
      <c r="O101" s="173">
        <v>0</v>
      </c>
      <c r="P101" s="234"/>
      <c r="Q101" s="234"/>
      <c r="R101" s="234"/>
      <c r="S101" s="234"/>
      <c r="T101" s="142" t="s">
        <v>192</v>
      </c>
      <c r="U101" s="142"/>
    </row>
    <row r="102" spans="1:21" ht="46.5" customHeight="1">
      <c r="A102" s="318" t="s">
        <v>213</v>
      </c>
      <c r="B102" s="319"/>
      <c r="C102" s="319"/>
      <c r="D102" s="319"/>
      <c r="E102" s="319"/>
      <c r="F102" s="319"/>
      <c r="G102" s="319"/>
      <c r="H102" s="320"/>
      <c r="I102" s="167">
        <v>653</v>
      </c>
      <c r="J102" s="169">
        <v>4</v>
      </c>
      <c r="K102" s="169">
        <v>9</v>
      </c>
      <c r="L102" s="172" t="s">
        <v>421</v>
      </c>
      <c r="M102" s="171">
        <v>0</v>
      </c>
      <c r="N102" s="173">
        <v>1327.3</v>
      </c>
      <c r="O102" s="173">
        <f>O105</f>
        <v>0</v>
      </c>
      <c r="P102" s="168">
        <f>P105</f>
        <v>3693</v>
      </c>
      <c r="Q102" s="168">
        <f>Q105</f>
        <v>0</v>
      </c>
      <c r="R102" s="168">
        <f>R105</f>
        <v>3878</v>
      </c>
      <c r="S102" s="168">
        <f>S105</f>
        <v>0</v>
      </c>
      <c r="T102" s="142"/>
      <c r="U102" s="142"/>
    </row>
    <row r="103" spans="1:21" ht="29.25" customHeight="1">
      <c r="A103" s="309" t="s">
        <v>205</v>
      </c>
      <c r="B103" s="309"/>
      <c r="C103" s="309"/>
      <c r="D103" s="309"/>
      <c r="E103" s="309"/>
      <c r="F103" s="309"/>
      <c r="G103" s="309"/>
      <c r="H103" s="309"/>
      <c r="I103" s="167"/>
      <c r="J103" s="169">
        <v>4</v>
      </c>
      <c r="K103" s="169">
        <v>9</v>
      </c>
      <c r="L103" s="172" t="s">
        <v>421</v>
      </c>
      <c r="M103" s="171">
        <v>200</v>
      </c>
      <c r="N103" s="173">
        <v>1327.3</v>
      </c>
      <c r="O103" s="173">
        <f aca="true" t="shared" si="28" ref="O103:S104">O104</f>
        <v>0</v>
      </c>
      <c r="P103" s="168">
        <f t="shared" si="28"/>
        <v>3693</v>
      </c>
      <c r="Q103" s="168">
        <f t="shared" si="28"/>
        <v>0</v>
      </c>
      <c r="R103" s="168">
        <f t="shared" si="28"/>
        <v>3878</v>
      </c>
      <c r="S103" s="168">
        <f t="shared" si="28"/>
        <v>0</v>
      </c>
      <c r="T103" s="142" t="s">
        <v>192</v>
      </c>
      <c r="U103" s="142"/>
    </row>
    <row r="104" spans="1:21" ht="32.25" customHeight="1">
      <c r="A104" s="309" t="s">
        <v>202</v>
      </c>
      <c r="B104" s="309"/>
      <c r="C104" s="309"/>
      <c r="D104" s="309"/>
      <c r="E104" s="309"/>
      <c r="F104" s="309"/>
      <c r="G104" s="309"/>
      <c r="H104" s="309"/>
      <c r="I104" s="167"/>
      <c r="J104" s="169">
        <v>4</v>
      </c>
      <c r="K104" s="169">
        <v>9</v>
      </c>
      <c r="L104" s="172" t="s">
        <v>421</v>
      </c>
      <c r="M104" s="171">
        <v>240</v>
      </c>
      <c r="N104" s="173">
        <v>1327.3</v>
      </c>
      <c r="O104" s="173">
        <f t="shared" si="28"/>
        <v>0</v>
      </c>
      <c r="P104" s="168">
        <f t="shared" si="28"/>
        <v>3693</v>
      </c>
      <c r="Q104" s="168">
        <f t="shared" si="28"/>
        <v>0</v>
      </c>
      <c r="R104" s="168">
        <f t="shared" si="28"/>
        <v>3878</v>
      </c>
      <c r="S104" s="168">
        <f t="shared" si="28"/>
        <v>0</v>
      </c>
      <c r="T104" s="142" t="s">
        <v>192</v>
      </c>
      <c r="U104" s="142"/>
    </row>
    <row r="105" spans="1:21" ht="30.75" customHeight="1">
      <c r="A105" s="309" t="s">
        <v>314</v>
      </c>
      <c r="B105" s="309"/>
      <c r="C105" s="309"/>
      <c r="D105" s="309"/>
      <c r="E105" s="309"/>
      <c r="F105" s="309"/>
      <c r="G105" s="309"/>
      <c r="H105" s="309"/>
      <c r="I105" s="167">
        <v>653</v>
      </c>
      <c r="J105" s="169">
        <v>4</v>
      </c>
      <c r="K105" s="169">
        <v>9</v>
      </c>
      <c r="L105" s="172" t="s">
        <v>421</v>
      </c>
      <c r="M105" s="171">
        <v>244</v>
      </c>
      <c r="N105" s="173">
        <v>1327.3</v>
      </c>
      <c r="O105" s="173">
        <v>0</v>
      </c>
      <c r="P105" s="168">
        <v>3693</v>
      </c>
      <c r="Q105" s="168">
        <v>0</v>
      </c>
      <c r="R105" s="239">
        <v>3878</v>
      </c>
      <c r="S105" s="168">
        <v>0</v>
      </c>
      <c r="T105" s="142" t="s">
        <v>192</v>
      </c>
      <c r="U105" s="142"/>
    </row>
    <row r="106" spans="1:21" ht="19.5" customHeight="1">
      <c r="A106" s="303" t="s">
        <v>290</v>
      </c>
      <c r="B106" s="303"/>
      <c r="C106" s="303"/>
      <c r="D106" s="303"/>
      <c r="E106" s="303"/>
      <c r="F106" s="303"/>
      <c r="G106" s="303"/>
      <c r="H106" s="303"/>
      <c r="I106" s="179">
        <v>653</v>
      </c>
      <c r="J106" s="180">
        <v>5</v>
      </c>
      <c r="K106" s="180">
        <v>0</v>
      </c>
      <c r="L106" s="172" t="s">
        <v>385</v>
      </c>
      <c r="M106" s="181">
        <v>0</v>
      </c>
      <c r="N106" s="233">
        <f aca="true" t="shared" si="29" ref="N106:S106">N107+N114+N122</f>
        <v>2423.8</v>
      </c>
      <c r="O106" s="233">
        <f t="shared" si="29"/>
        <v>0</v>
      </c>
      <c r="P106" s="234" t="e">
        <f t="shared" si="29"/>
        <v>#REF!</v>
      </c>
      <c r="Q106" s="234" t="e">
        <f t="shared" si="29"/>
        <v>#REF!</v>
      </c>
      <c r="R106" s="234" t="e">
        <f t="shared" si="29"/>
        <v>#REF!</v>
      </c>
      <c r="S106" s="234" t="e">
        <f t="shared" si="29"/>
        <v>#REF!</v>
      </c>
      <c r="T106" s="142" t="s">
        <v>192</v>
      </c>
      <c r="U106" s="142"/>
    </row>
    <row r="107" spans="1:21" ht="30.75" customHeight="1">
      <c r="A107" s="303" t="s">
        <v>289</v>
      </c>
      <c r="B107" s="303"/>
      <c r="C107" s="303"/>
      <c r="D107" s="303"/>
      <c r="E107" s="303"/>
      <c r="F107" s="303"/>
      <c r="G107" s="303"/>
      <c r="H107" s="303"/>
      <c r="I107" s="167">
        <v>653</v>
      </c>
      <c r="J107" s="180">
        <v>5</v>
      </c>
      <c r="K107" s="180">
        <v>1</v>
      </c>
      <c r="L107" s="172" t="s">
        <v>385</v>
      </c>
      <c r="M107" s="181">
        <v>0</v>
      </c>
      <c r="N107" s="233">
        <v>402.1</v>
      </c>
      <c r="O107" s="233">
        <v>0</v>
      </c>
      <c r="P107" s="234" t="e">
        <f>P108+#REF!</f>
        <v>#REF!</v>
      </c>
      <c r="Q107" s="234" t="e">
        <f>Q108+#REF!</f>
        <v>#REF!</v>
      </c>
      <c r="R107" s="234" t="e">
        <f>R108+#REF!</f>
        <v>#REF!</v>
      </c>
      <c r="S107" s="234" t="e">
        <f>S108+#REF!</f>
        <v>#REF!</v>
      </c>
      <c r="T107" s="142"/>
      <c r="U107" s="142"/>
    </row>
    <row r="108" spans="1:21" ht="42.75" customHeight="1">
      <c r="A108" s="304" t="s">
        <v>215</v>
      </c>
      <c r="B108" s="304"/>
      <c r="C108" s="304"/>
      <c r="D108" s="304"/>
      <c r="E108" s="178"/>
      <c r="F108" s="178"/>
      <c r="G108" s="178"/>
      <c r="H108" s="178"/>
      <c r="I108" s="179">
        <v>653</v>
      </c>
      <c r="J108" s="180">
        <v>5</v>
      </c>
      <c r="K108" s="180">
        <v>1</v>
      </c>
      <c r="L108" s="172" t="s">
        <v>399</v>
      </c>
      <c r="M108" s="181">
        <v>0</v>
      </c>
      <c r="N108" s="233">
        <v>402.1</v>
      </c>
      <c r="O108" s="233">
        <f>O109</f>
        <v>0</v>
      </c>
      <c r="P108" s="234">
        <f>P109</f>
        <v>511.5</v>
      </c>
      <c r="Q108" s="234">
        <f>Q109</f>
        <v>0</v>
      </c>
      <c r="R108" s="234">
        <f>R109</f>
        <v>532.7</v>
      </c>
      <c r="S108" s="234">
        <f>S109</f>
        <v>0</v>
      </c>
      <c r="T108" s="142"/>
      <c r="U108" s="142"/>
    </row>
    <row r="109" spans="1:21" ht="48" customHeight="1">
      <c r="A109" s="309" t="s">
        <v>415</v>
      </c>
      <c r="B109" s="309"/>
      <c r="C109" s="309"/>
      <c r="D109" s="309"/>
      <c r="E109" s="309"/>
      <c r="F109" s="309"/>
      <c r="G109" s="309"/>
      <c r="H109" s="309"/>
      <c r="I109" s="167">
        <v>653</v>
      </c>
      <c r="J109" s="169">
        <v>5</v>
      </c>
      <c r="K109" s="169">
        <v>1</v>
      </c>
      <c r="L109" s="170" t="s">
        <v>422</v>
      </c>
      <c r="M109" s="171">
        <v>0</v>
      </c>
      <c r="N109" s="173">
        <f>N110</f>
        <v>402.087</v>
      </c>
      <c r="O109" s="173">
        <f aca="true" t="shared" si="30" ref="O109:S110">O110</f>
        <v>0</v>
      </c>
      <c r="P109" s="168">
        <f t="shared" si="30"/>
        <v>511.5</v>
      </c>
      <c r="Q109" s="168">
        <f t="shared" si="30"/>
        <v>0</v>
      </c>
      <c r="R109" s="168">
        <f t="shared" si="30"/>
        <v>532.7</v>
      </c>
      <c r="S109" s="168">
        <f t="shared" si="30"/>
        <v>0</v>
      </c>
      <c r="T109" s="142"/>
      <c r="U109" s="142"/>
    </row>
    <row r="110" spans="1:21" ht="39.75" customHeight="1">
      <c r="A110" s="309" t="s">
        <v>205</v>
      </c>
      <c r="B110" s="309"/>
      <c r="C110" s="309"/>
      <c r="D110" s="309"/>
      <c r="E110" s="309"/>
      <c r="F110" s="309"/>
      <c r="G110" s="309"/>
      <c r="H110" s="309"/>
      <c r="I110" s="167"/>
      <c r="J110" s="169">
        <v>5</v>
      </c>
      <c r="K110" s="169">
        <v>1</v>
      </c>
      <c r="L110" s="170" t="s">
        <v>423</v>
      </c>
      <c r="M110" s="171">
        <v>200</v>
      </c>
      <c r="N110" s="173">
        <f>N111</f>
        <v>402.087</v>
      </c>
      <c r="O110" s="173">
        <f t="shared" si="30"/>
        <v>0</v>
      </c>
      <c r="P110" s="168">
        <f t="shared" si="30"/>
        <v>511.5</v>
      </c>
      <c r="Q110" s="168">
        <f t="shared" si="30"/>
        <v>0</v>
      </c>
      <c r="R110" s="168">
        <f t="shared" si="30"/>
        <v>532.7</v>
      </c>
      <c r="S110" s="168">
        <f t="shared" si="30"/>
        <v>0</v>
      </c>
      <c r="T110" s="142"/>
      <c r="U110" s="142"/>
    </row>
    <row r="111" spans="1:21" ht="27.75" customHeight="1">
      <c r="A111" s="309" t="s">
        <v>202</v>
      </c>
      <c r="B111" s="309"/>
      <c r="C111" s="309"/>
      <c r="D111" s="309"/>
      <c r="E111" s="309"/>
      <c r="F111" s="309"/>
      <c r="G111" s="309"/>
      <c r="H111" s="309"/>
      <c r="I111" s="167"/>
      <c r="J111" s="169">
        <v>5</v>
      </c>
      <c r="K111" s="169">
        <v>1</v>
      </c>
      <c r="L111" s="170" t="s">
        <v>423</v>
      </c>
      <c r="M111" s="171">
        <v>240</v>
      </c>
      <c r="N111" s="173">
        <f>N112</f>
        <v>402.087</v>
      </c>
      <c r="O111" s="173">
        <f>O112</f>
        <v>0</v>
      </c>
      <c r="P111" s="168">
        <f>P112</f>
        <v>511.5</v>
      </c>
      <c r="Q111" s="168">
        <f>Q112</f>
        <v>0</v>
      </c>
      <c r="R111" s="168">
        <f>R112</f>
        <v>532.7</v>
      </c>
      <c r="S111" s="168">
        <f>S112</f>
        <v>0</v>
      </c>
      <c r="T111" s="142" t="s">
        <v>192</v>
      </c>
      <c r="U111" s="142"/>
    </row>
    <row r="112" spans="1:21" ht="27.75" customHeight="1">
      <c r="A112" s="309" t="s">
        <v>314</v>
      </c>
      <c r="B112" s="309"/>
      <c r="C112" s="309"/>
      <c r="D112" s="309"/>
      <c r="E112" s="309"/>
      <c r="F112" s="309"/>
      <c r="G112" s="309"/>
      <c r="H112" s="309"/>
      <c r="I112" s="167">
        <v>653</v>
      </c>
      <c r="J112" s="169">
        <v>5</v>
      </c>
      <c r="K112" s="169">
        <v>1</v>
      </c>
      <c r="L112" s="170" t="s">
        <v>423</v>
      </c>
      <c r="M112" s="171">
        <v>244</v>
      </c>
      <c r="N112" s="173">
        <v>402.087</v>
      </c>
      <c r="O112" s="173">
        <v>0</v>
      </c>
      <c r="P112" s="168">
        <f>422.5+89</f>
        <v>511.5</v>
      </c>
      <c r="Q112" s="168">
        <v>0</v>
      </c>
      <c r="R112" s="239">
        <f>443.7+89</f>
        <v>532.7</v>
      </c>
      <c r="S112" s="168">
        <v>0</v>
      </c>
      <c r="T112" s="142" t="s">
        <v>192</v>
      </c>
      <c r="U112" s="142"/>
    </row>
    <row r="113" spans="1:21" ht="47.25" customHeight="1">
      <c r="A113" s="304" t="s">
        <v>226</v>
      </c>
      <c r="B113" s="304"/>
      <c r="C113" s="304"/>
      <c r="D113" s="304"/>
      <c r="E113" s="198"/>
      <c r="F113" s="198"/>
      <c r="G113" s="198"/>
      <c r="H113" s="198"/>
      <c r="I113" s="167"/>
      <c r="J113" s="169">
        <v>5</v>
      </c>
      <c r="K113" s="169">
        <v>1</v>
      </c>
      <c r="L113" s="170" t="s">
        <v>424</v>
      </c>
      <c r="M113" s="171">
        <v>0</v>
      </c>
      <c r="N113" s="173">
        <v>1721.7</v>
      </c>
      <c r="O113" s="173">
        <v>0</v>
      </c>
      <c r="P113" s="168"/>
      <c r="Q113" s="168"/>
      <c r="R113" s="239"/>
      <c r="S113" s="168"/>
      <c r="T113" s="142"/>
      <c r="U113" s="142"/>
    </row>
    <row r="114" spans="1:21" ht="19.5" customHeight="1">
      <c r="A114" s="303" t="s">
        <v>288</v>
      </c>
      <c r="B114" s="303"/>
      <c r="C114" s="303"/>
      <c r="D114" s="303"/>
      <c r="E114" s="303"/>
      <c r="F114" s="303"/>
      <c r="G114" s="303"/>
      <c r="H114" s="303"/>
      <c r="I114" s="179">
        <v>653</v>
      </c>
      <c r="J114" s="180">
        <v>5</v>
      </c>
      <c r="K114" s="180">
        <v>1</v>
      </c>
      <c r="L114" s="172" t="s">
        <v>425</v>
      </c>
      <c r="M114" s="181">
        <v>0</v>
      </c>
      <c r="N114" s="233">
        <f>N116</f>
        <v>1721.7</v>
      </c>
      <c r="O114" s="233">
        <f>O116</f>
        <v>0</v>
      </c>
      <c r="P114" s="234">
        <f>P119</f>
        <v>6865.7</v>
      </c>
      <c r="Q114" s="234">
        <f>Q119</f>
        <v>0</v>
      </c>
      <c r="R114" s="234">
        <f>R119</f>
        <v>4674.9</v>
      </c>
      <c r="S114" s="234">
        <f>S119</f>
        <v>0</v>
      </c>
      <c r="T114" s="142"/>
      <c r="U114" s="142"/>
    </row>
    <row r="115" spans="1:21" ht="48.75" customHeight="1">
      <c r="A115" s="305" t="s">
        <v>426</v>
      </c>
      <c r="B115" s="305"/>
      <c r="C115" s="305"/>
      <c r="D115" s="305"/>
      <c r="E115" s="198"/>
      <c r="F115" s="198"/>
      <c r="G115" s="198"/>
      <c r="H115" s="198"/>
      <c r="I115" s="167">
        <v>653</v>
      </c>
      <c r="J115" s="169">
        <v>5</v>
      </c>
      <c r="K115" s="169">
        <v>1</v>
      </c>
      <c r="L115" s="170" t="s">
        <v>460</v>
      </c>
      <c r="M115" s="171">
        <v>0</v>
      </c>
      <c r="N115" s="173">
        <f>N116</f>
        <v>1721.7</v>
      </c>
      <c r="O115" s="173">
        <f>O116</f>
        <v>0</v>
      </c>
      <c r="P115" s="234"/>
      <c r="Q115" s="234"/>
      <c r="R115" s="234"/>
      <c r="S115" s="234"/>
      <c r="T115" s="142"/>
      <c r="U115" s="142"/>
    </row>
    <row r="116" spans="1:21" ht="15.75" customHeight="1">
      <c r="A116" s="309" t="s">
        <v>206</v>
      </c>
      <c r="B116" s="309"/>
      <c r="C116" s="309"/>
      <c r="D116" s="309"/>
      <c r="E116" s="309"/>
      <c r="F116" s="309"/>
      <c r="G116" s="309"/>
      <c r="H116" s="309"/>
      <c r="I116" s="167">
        <v>653</v>
      </c>
      <c r="J116" s="169">
        <v>5</v>
      </c>
      <c r="K116" s="169">
        <v>1</v>
      </c>
      <c r="L116" s="170" t="s">
        <v>460</v>
      </c>
      <c r="M116" s="171">
        <v>800</v>
      </c>
      <c r="N116" s="173">
        <f>N117</f>
        <v>1721.7</v>
      </c>
      <c r="O116" s="173">
        <v>0</v>
      </c>
      <c r="P116" s="234"/>
      <c r="Q116" s="234"/>
      <c r="R116" s="234"/>
      <c r="S116" s="234"/>
      <c r="T116" s="142"/>
      <c r="U116" s="142"/>
    </row>
    <row r="117" spans="1:21" ht="41.25" customHeight="1">
      <c r="A117" s="309" t="s">
        <v>254</v>
      </c>
      <c r="B117" s="309"/>
      <c r="C117" s="309"/>
      <c r="D117" s="309"/>
      <c r="E117" s="309"/>
      <c r="F117" s="309"/>
      <c r="G117" s="309"/>
      <c r="H117" s="309"/>
      <c r="I117" s="167">
        <v>653</v>
      </c>
      <c r="J117" s="169">
        <v>5</v>
      </c>
      <c r="K117" s="169">
        <v>1</v>
      </c>
      <c r="L117" s="170" t="s">
        <v>460</v>
      </c>
      <c r="M117" s="171">
        <v>810</v>
      </c>
      <c r="N117" s="173">
        <v>1721.7</v>
      </c>
      <c r="O117" s="173">
        <v>0</v>
      </c>
      <c r="P117" s="234"/>
      <c r="Q117" s="234"/>
      <c r="R117" s="234"/>
      <c r="S117" s="234"/>
      <c r="T117" s="142"/>
      <c r="U117" s="142" t="s">
        <v>192</v>
      </c>
    </row>
    <row r="118" spans="1:21" ht="67.5" customHeight="1">
      <c r="A118" s="304" t="s">
        <v>216</v>
      </c>
      <c r="B118" s="304"/>
      <c r="C118" s="304"/>
      <c r="D118" s="304"/>
      <c r="E118" s="178"/>
      <c r="F118" s="178"/>
      <c r="G118" s="178"/>
      <c r="H118" s="178"/>
      <c r="I118" s="179">
        <v>653</v>
      </c>
      <c r="J118" s="180">
        <v>5</v>
      </c>
      <c r="K118" s="180">
        <v>2</v>
      </c>
      <c r="L118" s="180" t="s">
        <v>453</v>
      </c>
      <c r="M118" s="181">
        <v>0</v>
      </c>
      <c r="N118" s="233">
        <f aca="true" t="shared" si="31" ref="N118:S120">N119</f>
        <v>2669.4</v>
      </c>
      <c r="O118" s="233">
        <f t="shared" si="31"/>
        <v>0</v>
      </c>
      <c r="P118" s="234">
        <f t="shared" si="31"/>
        <v>6865.7</v>
      </c>
      <c r="Q118" s="234">
        <f t="shared" si="31"/>
        <v>0</v>
      </c>
      <c r="R118" s="234">
        <f t="shared" si="31"/>
        <v>4674.9</v>
      </c>
      <c r="S118" s="234">
        <f t="shared" si="31"/>
        <v>0</v>
      </c>
      <c r="T118" s="142"/>
      <c r="U118" s="142"/>
    </row>
    <row r="119" spans="1:21" ht="29.25" customHeight="1">
      <c r="A119" s="309" t="s">
        <v>298</v>
      </c>
      <c r="B119" s="309"/>
      <c r="C119" s="309"/>
      <c r="D119" s="309"/>
      <c r="E119" s="309"/>
      <c r="F119" s="309"/>
      <c r="G119" s="309"/>
      <c r="H119" s="309"/>
      <c r="I119" s="167">
        <v>653</v>
      </c>
      <c r="J119" s="169">
        <v>5</v>
      </c>
      <c r="K119" s="169">
        <v>2</v>
      </c>
      <c r="L119" s="182" t="s">
        <v>454</v>
      </c>
      <c r="M119" s="171">
        <v>0</v>
      </c>
      <c r="N119" s="173">
        <f>N120</f>
        <v>2669.4</v>
      </c>
      <c r="O119" s="173">
        <f t="shared" si="31"/>
        <v>0</v>
      </c>
      <c r="P119" s="168">
        <f t="shared" si="31"/>
        <v>6865.7</v>
      </c>
      <c r="Q119" s="168">
        <f t="shared" si="31"/>
        <v>0</v>
      </c>
      <c r="R119" s="168">
        <f t="shared" si="31"/>
        <v>4674.9</v>
      </c>
      <c r="S119" s="168">
        <f t="shared" si="31"/>
        <v>0</v>
      </c>
      <c r="T119" s="142" t="s">
        <v>192</v>
      </c>
      <c r="U119" s="142"/>
    </row>
    <row r="120" spans="1:21" ht="19.5" customHeight="1">
      <c r="A120" s="309" t="s">
        <v>204</v>
      </c>
      <c r="B120" s="309"/>
      <c r="C120" s="309"/>
      <c r="D120" s="309"/>
      <c r="E120" s="309"/>
      <c r="F120" s="198"/>
      <c r="G120" s="198"/>
      <c r="H120" s="198"/>
      <c r="I120" s="167">
        <v>653</v>
      </c>
      <c r="J120" s="169">
        <v>5</v>
      </c>
      <c r="K120" s="169">
        <v>2</v>
      </c>
      <c r="L120" s="182" t="s">
        <v>454</v>
      </c>
      <c r="M120" s="171">
        <v>500</v>
      </c>
      <c r="N120" s="173">
        <f>N121</f>
        <v>2669.4</v>
      </c>
      <c r="O120" s="173">
        <f t="shared" si="31"/>
        <v>0</v>
      </c>
      <c r="P120" s="168">
        <f t="shared" si="31"/>
        <v>6865.7</v>
      </c>
      <c r="Q120" s="168">
        <f t="shared" si="31"/>
        <v>0</v>
      </c>
      <c r="R120" s="168">
        <f t="shared" si="31"/>
        <v>4674.9</v>
      </c>
      <c r="S120" s="168">
        <f t="shared" si="31"/>
        <v>0</v>
      </c>
      <c r="T120" s="142" t="s">
        <v>192</v>
      </c>
      <c r="U120" s="142"/>
    </row>
    <row r="121" spans="1:21" ht="19.5" customHeight="1">
      <c r="A121" s="309" t="s">
        <v>298</v>
      </c>
      <c r="B121" s="309"/>
      <c r="C121" s="309"/>
      <c r="D121" s="309"/>
      <c r="E121" s="309"/>
      <c r="F121" s="309"/>
      <c r="G121" s="309"/>
      <c r="H121" s="309"/>
      <c r="I121" s="167">
        <v>653</v>
      </c>
      <c r="J121" s="169">
        <v>5</v>
      </c>
      <c r="K121" s="169">
        <v>2</v>
      </c>
      <c r="L121" s="182" t="s">
        <v>454</v>
      </c>
      <c r="M121" s="171">
        <v>540</v>
      </c>
      <c r="N121" s="173">
        <v>2669.4</v>
      </c>
      <c r="O121" s="173">
        <v>0</v>
      </c>
      <c r="P121" s="168">
        <v>6865.7</v>
      </c>
      <c r="Q121" s="168">
        <v>0</v>
      </c>
      <c r="R121" s="239">
        <v>4674.9</v>
      </c>
      <c r="S121" s="168">
        <v>0</v>
      </c>
      <c r="T121" s="142" t="s">
        <v>192</v>
      </c>
      <c r="U121" s="142"/>
    </row>
    <row r="122" spans="1:21" ht="19.5" customHeight="1">
      <c r="A122" s="303" t="s">
        <v>287</v>
      </c>
      <c r="B122" s="303"/>
      <c r="C122" s="303"/>
      <c r="D122" s="303"/>
      <c r="E122" s="303"/>
      <c r="F122" s="303"/>
      <c r="G122" s="303"/>
      <c r="H122" s="303"/>
      <c r="I122" s="179">
        <v>653</v>
      </c>
      <c r="J122" s="180">
        <v>5</v>
      </c>
      <c r="K122" s="180">
        <v>3</v>
      </c>
      <c r="L122" s="172" t="s">
        <v>461</v>
      </c>
      <c r="M122" s="181">
        <v>0</v>
      </c>
      <c r="N122" s="233">
        <f aca="true" t="shared" si="32" ref="N122:S122">N126</f>
        <v>300</v>
      </c>
      <c r="O122" s="233">
        <f t="shared" si="32"/>
        <v>0</v>
      </c>
      <c r="P122" s="234">
        <f t="shared" si="32"/>
        <v>615</v>
      </c>
      <c r="Q122" s="234">
        <f t="shared" si="32"/>
        <v>0</v>
      </c>
      <c r="R122" s="234">
        <f t="shared" si="32"/>
        <v>300</v>
      </c>
      <c r="S122" s="234">
        <f t="shared" si="32"/>
        <v>0</v>
      </c>
      <c r="T122" s="142" t="s">
        <v>192</v>
      </c>
      <c r="U122" s="142"/>
    </row>
    <row r="123" spans="1:21" ht="52.5" customHeight="1">
      <c r="A123" s="304" t="s">
        <v>226</v>
      </c>
      <c r="B123" s="304"/>
      <c r="C123" s="304"/>
      <c r="D123" s="304"/>
      <c r="E123" s="178"/>
      <c r="F123" s="178"/>
      <c r="G123" s="178"/>
      <c r="H123" s="178"/>
      <c r="I123" s="179">
        <v>653</v>
      </c>
      <c r="J123" s="180">
        <v>5</v>
      </c>
      <c r="K123" s="180">
        <v>3</v>
      </c>
      <c r="L123" s="172" t="s">
        <v>424</v>
      </c>
      <c r="M123" s="181">
        <v>0</v>
      </c>
      <c r="N123" s="233">
        <f aca="true" t="shared" si="33" ref="N123:S125">N124</f>
        <v>300</v>
      </c>
      <c r="O123" s="233">
        <f t="shared" si="33"/>
        <v>0</v>
      </c>
      <c r="P123" s="234">
        <f t="shared" si="33"/>
        <v>615</v>
      </c>
      <c r="Q123" s="234">
        <f t="shared" si="33"/>
        <v>0</v>
      </c>
      <c r="R123" s="234">
        <f t="shared" si="33"/>
        <v>300</v>
      </c>
      <c r="S123" s="234">
        <f t="shared" si="33"/>
        <v>0</v>
      </c>
      <c r="T123" s="142"/>
      <c r="U123" s="142"/>
    </row>
    <row r="124" spans="1:21" ht="50.25" customHeight="1">
      <c r="A124" s="305" t="s">
        <v>427</v>
      </c>
      <c r="B124" s="305"/>
      <c r="C124" s="305"/>
      <c r="D124" s="305"/>
      <c r="E124" s="198"/>
      <c r="F124" s="198"/>
      <c r="G124" s="198"/>
      <c r="H124" s="198"/>
      <c r="I124" s="167">
        <v>653</v>
      </c>
      <c r="J124" s="169">
        <v>5</v>
      </c>
      <c r="K124" s="169">
        <v>3</v>
      </c>
      <c r="L124" s="172" t="s">
        <v>462</v>
      </c>
      <c r="M124" s="171">
        <v>0</v>
      </c>
      <c r="N124" s="173">
        <f>N125</f>
        <v>300</v>
      </c>
      <c r="O124" s="173">
        <f t="shared" si="33"/>
        <v>0</v>
      </c>
      <c r="P124" s="168">
        <f t="shared" si="33"/>
        <v>615</v>
      </c>
      <c r="Q124" s="168">
        <f t="shared" si="33"/>
        <v>0</v>
      </c>
      <c r="R124" s="168">
        <f t="shared" si="33"/>
        <v>300</v>
      </c>
      <c r="S124" s="168">
        <f t="shared" si="33"/>
        <v>0</v>
      </c>
      <c r="T124" s="142"/>
      <c r="U124" s="142"/>
    </row>
    <row r="125" spans="1:21" ht="36" customHeight="1">
      <c r="A125" s="309" t="s">
        <v>205</v>
      </c>
      <c r="B125" s="309"/>
      <c r="C125" s="309"/>
      <c r="D125" s="309"/>
      <c r="E125" s="309"/>
      <c r="F125" s="309"/>
      <c r="G125" s="309"/>
      <c r="H125" s="309"/>
      <c r="I125" s="167"/>
      <c r="J125" s="169">
        <v>5</v>
      </c>
      <c r="K125" s="169">
        <v>3</v>
      </c>
      <c r="L125" s="172" t="s">
        <v>462</v>
      </c>
      <c r="M125" s="171">
        <v>200</v>
      </c>
      <c r="N125" s="173">
        <f>N126</f>
        <v>300</v>
      </c>
      <c r="O125" s="173">
        <f t="shared" si="33"/>
        <v>0</v>
      </c>
      <c r="P125" s="168">
        <f t="shared" si="33"/>
        <v>615</v>
      </c>
      <c r="Q125" s="168">
        <f t="shared" si="33"/>
        <v>0</v>
      </c>
      <c r="R125" s="168">
        <f t="shared" si="33"/>
        <v>300</v>
      </c>
      <c r="S125" s="168">
        <f t="shared" si="33"/>
        <v>0</v>
      </c>
      <c r="T125" s="142"/>
      <c r="U125" s="142"/>
    </row>
    <row r="126" spans="1:21" ht="30" customHeight="1">
      <c r="A126" s="309" t="s">
        <v>202</v>
      </c>
      <c r="B126" s="309"/>
      <c r="C126" s="309"/>
      <c r="D126" s="309"/>
      <c r="E126" s="309"/>
      <c r="F126" s="309"/>
      <c r="G126" s="309"/>
      <c r="H126" s="309"/>
      <c r="I126" s="167">
        <v>653</v>
      </c>
      <c r="J126" s="169">
        <v>5</v>
      </c>
      <c r="K126" s="169">
        <v>3</v>
      </c>
      <c r="L126" s="172" t="s">
        <v>462</v>
      </c>
      <c r="M126" s="171">
        <v>240</v>
      </c>
      <c r="N126" s="173">
        <f aca="true" t="shared" si="34" ref="N126:S126">N127</f>
        <v>300</v>
      </c>
      <c r="O126" s="173">
        <f t="shared" si="34"/>
        <v>0</v>
      </c>
      <c r="P126" s="168">
        <f t="shared" si="34"/>
        <v>615</v>
      </c>
      <c r="Q126" s="168">
        <f t="shared" si="34"/>
        <v>0</v>
      </c>
      <c r="R126" s="168">
        <f t="shared" si="34"/>
        <v>300</v>
      </c>
      <c r="S126" s="168">
        <f t="shared" si="34"/>
        <v>0</v>
      </c>
      <c r="T126" s="142"/>
      <c r="U126" s="142"/>
    </row>
    <row r="127" spans="1:21" ht="28.5" customHeight="1">
      <c r="A127" s="309" t="s">
        <v>314</v>
      </c>
      <c r="B127" s="309"/>
      <c r="C127" s="309"/>
      <c r="D127" s="309"/>
      <c r="E127" s="309"/>
      <c r="F127" s="309"/>
      <c r="G127" s="309"/>
      <c r="H127" s="309"/>
      <c r="I127" s="167">
        <v>653</v>
      </c>
      <c r="J127" s="169">
        <v>5</v>
      </c>
      <c r="K127" s="169">
        <v>3</v>
      </c>
      <c r="L127" s="172" t="s">
        <v>462</v>
      </c>
      <c r="M127" s="171">
        <v>244</v>
      </c>
      <c r="N127" s="173">
        <v>300</v>
      </c>
      <c r="O127" s="173">
        <v>0</v>
      </c>
      <c r="P127" s="168">
        <v>615</v>
      </c>
      <c r="Q127" s="168">
        <v>0</v>
      </c>
      <c r="R127" s="239">
        <v>300</v>
      </c>
      <c r="S127" s="168">
        <v>0</v>
      </c>
      <c r="T127" s="142"/>
      <c r="U127" s="142"/>
    </row>
    <row r="128" spans="1:21" ht="20.25" customHeight="1">
      <c r="A128" s="303" t="s">
        <v>217</v>
      </c>
      <c r="B128" s="303"/>
      <c r="C128" s="303"/>
      <c r="D128" s="303"/>
      <c r="E128" s="303"/>
      <c r="F128" s="303"/>
      <c r="G128" s="303"/>
      <c r="H128" s="303"/>
      <c r="I128" s="179">
        <v>653</v>
      </c>
      <c r="J128" s="180">
        <v>8</v>
      </c>
      <c r="K128" s="180">
        <v>0</v>
      </c>
      <c r="L128" s="172" t="s">
        <v>402</v>
      </c>
      <c r="M128" s="181">
        <v>0</v>
      </c>
      <c r="N128" s="233">
        <f aca="true" t="shared" si="35" ref="N128:S128">N129+N143</f>
        <v>4688.566360000001</v>
      </c>
      <c r="O128" s="233">
        <f t="shared" si="35"/>
        <v>0</v>
      </c>
      <c r="P128" s="234">
        <f t="shared" si="35"/>
        <v>3603.86047</v>
      </c>
      <c r="Q128" s="234">
        <f t="shared" si="35"/>
        <v>0</v>
      </c>
      <c r="R128" s="234">
        <f t="shared" si="35"/>
        <v>3316.791521</v>
      </c>
      <c r="S128" s="234">
        <f t="shared" si="35"/>
        <v>0</v>
      </c>
      <c r="T128" s="142"/>
      <c r="U128" s="142"/>
    </row>
    <row r="129" spans="1:21" ht="19.5" customHeight="1">
      <c r="A129" s="303" t="s">
        <v>286</v>
      </c>
      <c r="B129" s="303"/>
      <c r="C129" s="303"/>
      <c r="D129" s="303"/>
      <c r="E129" s="303"/>
      <c r="F129" s="303"/>
      <c r="G129" s="303"/>
      <c r="H129" s="303"/>
      <c r="I129" s="167">
        <v>653</v>
      </c>
      <c r="J129" s="180">
        <v>8</v>
      </c>
      <c r="K129" s="180">
        <v>1</v>
      </c>
      <c r="L129" s="172" t="s">
        <v>402</v>
      </c>
      <c r="M129" s="181">
        <v>0</v>
      </c>
      <c r="N129" s="233">
        <f aca="true" t="shared" si="36" ref="N129:S129">N131</f>
        <v>4244.96636</v>
      </c>
      <c r="O129" s="233">
        <f t="shared" si="36"/>
        <v>0</v>
      </c>
      <c r="P129" s="234">
        <f t="shared" si="36"/>
        <v>3160.30483</v>
      </c>
      <c r="Q129" s="234">
        <f t="shared" si="36"/>
        <v>0</v>
      </c>
      <c r="R129" s="234">
        <f t="shared" si="36"/>
        <v>2833.880317</v>
      </c>
      <c r="S129" s="234">
        <f t="shared" si="36"/>
        <v>0</v>
      </c>
      <c r="T129" s="142"/>
      <c r="U129" s="142"/>
    </row>
    <row r="130" spans="1:21" ht="45.75" customHeight="1">
      <c r="A130" s="304" t="s">
        <v>218</v>
      </c>
      <c r="B130" s="304"/>
      <c r="C130" s="304"/>
      <c r="D130" s="304"/>
      <c r="E130" s="178"/>
      <c r="F130" s="178"/>
      <c r="G130" s="178"/>
      <c r="H130" s="178"/>
      <c r="I130" s="179">
        <v>653</v>
      </c>
      <c r="J130" s="180">
        <v>8</v>
      </c>
      <c r="K130" s="180">
        <v>1</v>
      </c>
      <c r="L130" s="172" t="s">
        <v>402</v>
      </c>
      <c r="M130" s="181">
        <v>0</v>
      </c>
      <c r="N130" s="233">
        <f aca="true" t="shared" si="37" ref="N130:S130">N131</f>
        <v>4244.96636</v>
      </c>
      <c r="O130" s="233">
        <f t="shared" si="37"/>
        <v>0</v>
      </c>
      <c r="P130" s="234">
        <f t="shared" si="37"/>
        <v>3160.30483</v>
      </c>
      <c r="Q130" s="234">
        <f t="shared" si="37"/>
        <v>0</v>
      </c>
      <c r="R130" s="234">
        <f t="shared" si="37"/>
        <v>2833.880317</v>
      </c>
      <c r="S130" s="234">
        <f t="shared" si="37"/>
        <v>0</v>
      </c>
      <c r="T130" s="142"/>
      <c r="U130" s="142"/>
    </row>
    <row r="131" spans="1:21" ht="36" customHeight="1">
      <c r="A131" s="309" t="s">
        <v>219</v>
      </c>
      <c r="B131" s="309"/>
      <c r="C131" s="309"/>
      <c r="D131" s="309"/>
      <c r="E131" s="309"/>
      <c r="F131" s="309"/>
      <c r="G131" s="309"/>
      <c r="H131" s="309"/>
      <c r="I131" s="167">
        <v>653</v>
      </c>
      <c r="J131" s="169">
        <v>8</v>
      </c>
      <c r="K131" s="169">
        <v>1</v>
      </c>
      <c r="L131" s="170" t="s">
        <v>403</v>
      </c>
      <c r="M131" s="171">
        <v>0</v>
      </c>
      <c r="N131" s="173">
        <f>N134+N135+N136+N139+N140+N142</f>
        <v>4244.96636</v>
      </c>
      <c r="O131" s="173">
        <f>O134+O135+O139+O140</f>
        <v>0</v>
      </c>
      <c r="P131" s="168">
        <f>P134+P135+P139+P140</f>
        <v>3160.30483</v>
      </c>
      <c r="Q131" s="168">
        <f>Q134+Q135+Q139+Q140</f>
        <v>0</v>
      </c>
      <c r="R131" s="168">
        <f>R134+R135+R139+R140</f>
        <v>2833.880317</v>
      </c>
      <c r="S131" s="168">
        <f>S134+S135+S139+S140</f>
        <v>0</v>
      </c>
      <c r="T131" s="142"/>
      <c r="U131" s="142"/>
    </row>
    <row r="132" spans="1:21" ht="73.5" customHeight="1">
      <c r="A132" s="309" t="s">
        <v>200</v>
      </c>
      <c r="B132" s="309"/>
      <c r="C132" s="309"/>
      <c r="D132" s="309"/>
      <c r="E132" s="309"/>
      <c r="F132" s="309"/>
      <c r="G132" s="309"/>
      <c r="H132" s="309"/>
      <c r="I132" s="167"/>
      <c r="J132" s="169">
        <v>8</v>
      </c>
      <c r="K132" s="169">
        <v>1</v>
      </c>
      <c r="L132" s="170" t="s">
        <v>403</v>
      </c>
      <c r="M132" s="171">
        <v>100</v>
      </c>
      <c r="N132" s="173">
        <f>N134+N135+N136</f>
        <v>3156.7000000000003</v>
      </c>
      <c r="O132" s="173">
        <f>O134</f>
        <v>0</v>
      </c>
      <c r="P132" s="168">
        <f>P134</f>
        <v>1558.61847</v>
      </c>
      <c r="Q132" s="168">
        <f>Q134</f>
        <v>0</v>
      </c>
      <c r="R132" s="168">
        <f>R134</f>
        <v>1714.480317</v>
      </c>
      <c r="S132" s="168">
        <f>S134</f>
        <v>0</v>
      </c>
      <c r="T132" s="142"/>
      <c r="U132" s="142"/>
    </row>
    <row r="133" spans="1:21" s="8" customFormat="1" ht="25.5" customHeight="1">
      <c r="A133" s="309" t="s">
        <v>210</v>
      </c>
      <c r="B133" s="309"/>
      <c r="C133" s="309"/>
      <c r="D133" s="309"/>
      <c r="E133" s="309"/>
      <c r="F133" s="309"/>
      <c r="G133" s="309"/>
      <c r="H133" s="309"/>
      <c r="I133" s="167"/>
      <c r="J133" s="169">
        <v>8</v>
      </c>
      <c r="K133" s="169">
        <v>1</v>
      </c>
      <c r="L133" s="170" t="s">
        <v>403</v>
      </c>
      <c r="M133" s="171">
        <v>110</v>
      </c>
      <c r="N133" s="173">
        <f>SUM(N134+N135+N136)</f>
        <v>3156.7000000000003</v>
      </c>
      <c r="O133" s="173">
        <f>SUM(O134+O135)</f>
        <v>0</v>
      </c>
      <c r="P133" s="168">
        <f>SUM(P134+P135)</f>
        <v>1658.61847</v>
      </c>
      <c r="Q133" s="168">
        <f>SUM(Q134+Q135)</f>
        <v>0</v>
      </c>
      <c r="R133" s="168">
        <f>SUM(R134+R135)</f>
        <v>1814.480317</v>
      </c>
      <c r="S133" s="168">
        <f>SUM(S134+S135)</f>
        <v>0</v>
      </c>
      <c r="T133" s="142" t="s">
        <v>192</v>
      </c>
      <c r="U133" s="142"/>
    </row>
    <row r="134" spans="1:21" s="8" customFormat="1" ht="21" customHeight="1">
      <c r="A134" s="309" t="s">
        <v>394</v>
      </c>
      <c r="B134" s="309"/>
      <c r="C134" s="309"/>
      <c r="D134" s="309"/>
      <c r="E134" s="309"/>
      <c r="F134" s="309"/>
      <c r="G134" s="309"/>
      <c r="H134" s="309"/>
      <c r="I134" s="167">
        <v>653</v>
      </c>
      <c r="J134" s="169">
        <v>8</v>
      </c>
      <c r="K134" s="169">
        <v>1</v>
      </c>
      <c r="L134" s="170" t="s">
        <v>403</v>
      </c>
      <c r="M134" s="171">
        <v>111</v>
      </c>
      <c r="N134" s="173">
        <v>2309.3</v>
      </c>
      <c r="O134" s="173">
        <v>0</v>
      </c>
      <c r="P134" s="168">
        <v>1558.61847</v>
      </c>
      <c r="Q134" s="168">
        <v>0</v>
      </c>
      <c r="R134" s="168">
        <f>1558.61847*1.1</f>
        <v>1714.480317</v>
      </c>
      <c r="S134" s="168">
        <v>0</v>
      </c>
      <c r="T134" s="142" t="s">
        <v>192</v>
      </c>
      <c r="U134" s="142"/>
    </row>
    <row r="135" spans="1:21" ht="27" customHeight="1">
      <c r="A135" s="309" t="s">
        <v>211</v>
      </c>
      <c r="B135" s="309"/>
      <c r="C135" s="309"/>
      <c r="D135" s="309"/>
      <c r="E135" s="309"/>
      <c r="F135" s="309"/>
      <c r="G135" s="309"/>
      <c r="H135" s="309"/>
      <c r="I135" s="167">
        <v>653</v>
      </c>
      <c r="J135" s="169">
        <v>8</v>
      </c>
      <c r="K135" s="169">
        <v>1</v>
      </c>
      <c r="L135" s="170" t="s">
        <v>403</v>
      </c>
      <c r="M135" s="171">
        <v>112</v>
      </c>
      <c r="N135" s="173">
        <v>150</v>
      </c>
      <c r="O135" s="173">
        <v>0</v>
      </c>
      <c r="P135" s="168">
        <v>100</v>
      </c>
      <c r="Q135" s="168">
        <v>0</v>
      </c>
      <c r="R135" s="168">
        <v>100</v>
      </c>
      <c r="S135" s="168">
        <v>0</v>
      </c>
      <c r="T135" s="142" t="s">
        <v>192</v>
      </c>
      <c r="U135" s="142"/>
    </row>
    <row r="136" spans="1:21" ht="48" customHeight="1">
      <c r="A136" s="306" t="s">
        <v>414</v>
      </c>
      <c r="B136" s="307"/>
      <c r="C136" s="307"/>
      <c r="D136" s="308"/>
      <c r="E136" s="198"/>
      <c r="F136" s="198"/>
      <c r="G136" s="198"/>
      <c r="H136" s="198"/>
      <c r="I136" s="167"/>
      <c r="J136" s="169">
        <v>8</v>
      </c>
      <c r="K136" s="169">
        <v>1</v>
      </c>
      <c r="L136" s="170" t="s">
        <v>403</v>
      </c>
      <c r="M136" s="171">
        <v>119</v>
      </c>
      <c r="N136" s="173">
        <v>697.4</v>
      </c>
      <c r="O136" s="173">
        <v>0</v>
      </c>
      <c r="P136" s="168"/>
      <c r="Q136" s="168"/>
      <c r="R136" s="168"/>
      <c r="S136" s="168"/>
      <c r="T136" s="142" t="s">
        <v>192</v>
      </c>
      <c r="U136" s="142"/>
    </row>
    <row r="137" spans="1:21" ht="27.75" customHeight="1">
      <c r="A137" s="309" t="s">
        <v>205</v>
      </c>
      <c r="B137" s="309"/>
      <c r="C137" s="309"/>
      <c r="D137" s="309"/>
      <c r="E137" s="309"/>
      <c r="F137" s="309"/>
      <c r="G137" s="309"/>
      <c r="H137" s="309"/>
      <c r="I137" s="167"/>
      <c r="J137" s="169">
        <v>8</v>
      </c>
      <c r="K137" s="169">
        <v>1</v>
      </c>
      <c r="L137" s="170" t="s">
        <v>403</v>
      </c>
      <c r="M137" s="171">
        <v>200</v>
      </c>
      <c r="N137" s="173">
        <f aca="true" t="shared" si="38" ref="N137:S137">N138</f>
        <v>1073.26636</v>
      </c>
      <c r="O137" s="173">
        <f t="shared" si="38"/>
        <v>0</v>
      </c>
      <c r="P137" s="168">
        <f t="shared" si="38"/>
        <v>1501.68636</v>
      </c>
      <c r="Q137" s="168">
        <f t="shared" si="38"/>
        <v>0</v>
      </c>
      <c r="R137" s="168">
        <f t="shared" si="38"/>
        <v>1019.4</v>
      </c>
      <c r="S137" s="168">
        <f t="shared" si="38"/>
        <v>0</v>
      </c>
      <c r="T137" s="142" t="s">
        <v>192</v>
      </c>
      <c r="U137" s="142"/>
    </row>
    <row r="138" spans="1:21" ht="27.75" customHeight="1">
      <c r="A138" s="309" t="s">
        <v>202</v>
      </c>
      <c r="B138" s="309"/>
      <c r="C138" s="309"/>
      <c r="D138" s="309"/>
      <c r="E138" s="309"/>
      <c r="F138" s="309"/>
      <c r="G138" s="309"/>
      <c r="H138" s="309"/>
      <c r="I138" s="167"/>
      <c r="J138" s="169">
        <v>8</v>
      </c>
      <c r="K138" s="169">
        <v>1</v>
      </c>
      <c r="L138" s="170" t="s">
        <v>403</v>
      </c>
      <c r="M138" s="171">
        <v>240</v>
      </c>
      <c r="N138" s="173">
        <f>N139+N140</f>
        <v>1073.26636</v>
      </c>
      <c r="O138" s="173">
        <f>O139</f>
        <v>0</v>
      </c>
      <c r="P138" s="168">
        <f>P139+P140</f>
        <v>1501.68636</v>
      </c>
      <c r="Q138" s="168">
        <f>Q139</f>
        <v>0</v>
      </c>
      <c r="R138" s="168">
        <f>R139+R140</f>
        <v>1019.4</v>
      </c>
      <c r="S138" s="168">
        <f>S139</f>
        <v>0</v>
      </c>
      <c r="T138" s="142" t="s">
        <v>192</v>
      </c>
      <c r="U138" s="142"/>
    </row>
    <row r="139" spans="1:21" ht="34.5" customHeight="1">
      <c r="A139" s="309" t="s">
        <v>316</v>
      </c>
      <c r="B139" s="309"/>
      <c r="C139" s="309"/>
      <c r="D139" s="309"/>
      <c r="E139" s="309"/>
      <c r="F139" s="309"/>
      <c r="G139" s="309"/>
      <c r="H139" s="309"/>
      <c r="I139" s="167">
        <v>653</v>
      </c>
      <c r="J139" s="169">
        <v>8</v>
      </c>
      <c r="K139" s="169">
        <v>1</v>
      </c>
      <c r="L139" s="170" t="s">
        <v>403</v>
      </c>
      <c r="M139" s="171">
        <v>242</v>
      </c>
      <c r="N139" s="173">
        <v>46.44</v>
      </c>
      <c r="O139" s="173">
        <v>0</v>
      </c>
      <c r="P139" s="168">
        <v>83.96</v>
      </c>
      <c r="Q139" s="168">
        <v>0</v>
      </c>
      <c r="R139" s="168">
        <v>46.4</v>
      </c>
      <c r="S139" s="168">
        <v>0</v>
      </c>
      <c r="T139" s="142" t="s">
        <v>192</v>
      </c>
      <c r="U139" s="142"/>
    </row>
    <row r="140" spans="1:21" ht="30" customHeight="1">
      <c r="A140" s="309" t="s">
        <v>203</v>
      </c>
      <c r="B140" s="309"/>
      <c r="C140" s="309"/>
      <c r="D140" s="309"/>
      <c r="E140" s="309"/>
      <c r="F140" s="309"/>
      <c r="G140" s="309"/>
      <c r="H140" s="309"/>
      <c r="I140" s="167">
        <v>653</v>
      </c>
      <c r="J140" s="169">
        <v>8</v>
      </c>
      <c r="K140" s="169">
        <v>1</v>
      </c>
      <c r="L140" s="170" t="s">
        <v>403</v>
      </c>
      <c r="M140" s="171">
        <v>244</v>
      </c>
      <c r="N140" s="173">
        <v>1026.82636</v>
      </c>
      <c r="O140" s="173">
        <v>0</v>
      </c>
      <c r="P140" s="168">
        <f>1165.50535-192.47899+500-55.3</f>
        <v>1417.7263599999999</v>
      </c>
      <c r="Q140" s="168">
        <v>0</v>
      </c>
      <c r="R140" s="168">
        <v>973</v>
      </c>
      <c r="S140" s="168">
        <v>0</v>
      </c>
      <c r="T140" s="142" t="s">
        <v>192</v>
      </c>
      <c r="U140" s="142"/>
    </row>
    <row r="141" spans="1:21" ht="19.5" customHeight="1">
      <c r="A141" s="309" t="s">
        <v>207</v>
      </c>
      <c r="B141" s="309"/>
      <c r="C141" s="309"/>
      <c r="D141" s="309"/>
      <c r="E141" s="309"/>
      <c r="F141" s="309"/>
      <c r="G141" s="309"/>
      <c r="H141" s="309"/>
      <c r="I141" s="167"/>
      <c r="J141" s="169">
        <v>8</v>
      </c>
      <c r="K141" s="169">
        <v>1</v>
      </c>
      <c r="L141" s="170" t="s">
        <v>403</v>
      </c>
      <c r="M141" s="171">
        <v>850</v>
      </c>
      <c r="N141" s="173">
        <f>N142</f>
        <v>15</v>
      </c>
      <c r="O141" s="173">
        <f>O142</f>
        <v>0</v>
      </c>
      <c r="P141" s="168"/>
      <c r="Q141" s="168"/>
      <c r="R141" s="168"/>
      <c r="S141" s="168"/>
      <c r="T141" s="142"/>
      <c r="U141" s="142"/>
    </row>
    <row r="142" spans="1:21" ht="26.25" customHeight="1">
      <c r="A142" s="310" t="s">
        <v>208</v>
      </c>
      <c r="B142" s="310"/>
      <c r="C142" s="310"/>
      <c r="D142" s="310"/>
      <c r="E142" s="310"/>
      <c r="F142" s="198"/>
      <c r="G142" s="198"/>
      <c r="H142" s="198"/>
      <c r="I142" s="167">
        <v>653</v>
      </c>
      <c r="J142" s="169">
        <v>8</v>
      </c>
      <c r="K142" s="169">
        <v>1</v>
      </c>
      <c r="L142" s="170" t="s">
        <v>403</v>
      </c>
      <c r="M142" s="171">
        <v>852</v>
      </c>
      <c r="N142" s="173">
        <v>15</v>
      </c>
      <c r="O142" s="173">
        <v>0</v>
      </c>
      <c r="P142" s="168"/>
      <c r="Q142" s="168"/>
      <c r="R142" s="168"/>
      <c r="S142" s="168"/>
      <c r="T142" s="142"/>
      <c r="U142" s="142"/>
    </row>
    <row r="143" spans="1:21" ht="23.25" customHeight="1">
      <c r="A143" s="303" t="s">
        <v>285</v>
      </c>
      <c r="B143" s="303"/>
      <c r="C143" s="303"/>
      <c r="D143" s="303"/>
      <c r="E143" s="303"/>
      <c r="F143" s="303"/>
      <c r="G143" s="303"/>
      <c r="H143" s="303"/>
      <c r="I143" s="167">
        <v>653</v>
      </c>
      <c r="J143" s="180">
        <v>8</v>
      </c>
      <c r="K143" s="180">
        <v>2</v>
      </c>
      <c r="L143" s="172" t="s">
        <v>402</v>
      </c>
      <c r="M143" s="181">
        <v>0</v>
      </c>
      <c r="N143" s="233">
        <f aca="true" t="shared" si="39" ref="N143:S143">N145</f>
        <v>443.59999999999997</v>
      </c>
      <c r="O143" s="233">
        <f t="shared" si="39"/>
        <v>0</v>
      </c>
      <c r="P143" s="234">
        <f t="shared" si="39"/>
        <v>443.55564</v>
      </c>
      <c r="Q143" s="234">
        <f t="shared" si="39"/>
        <v>0</v>
      </c>
      <c r="R143" s="234">
        <f t="shared" si="39"/>
        <v>482.911204</v>
      </c>
      <c r="S143" s="234">
        <f t="shared" si="39"/>
        <v>0</v>
      </c>
      <c r="T143" s="142" t="s">
        <v>192</v>
      </c>
      <c r="U143" s="142"/>
    </row>
    <row r="144" spans="1:21" s="8" customFormat="1" ht="43.5" customHeight="1">
      <c r="A144" s="304" t="s">
        <v>218</v>
      </c>
      <c r="B144" s="304"/>
      <c r="C144" s="304"/>
      <c r="D144" s="304"/>
      <c r="E144" s="178"/>
      <c r="F144" s="178"/>
      <c r="G144" s="178"/>
      <c r="H144" s="178"/>
      <c r="I144" s="179">
        <v>653</v>
      </c>
      <c r="J144" s="180">
        <v>8</v>
      </c>
      <c r="K144" s="180">
        <v>2</v>
      </c>
      <c r="L144" s="172" t="s">
        <v>403</v>
      </c>
      <c r="M144" s="181">
        <v>0</v>
      </c>
      <c r="N144" s="233">
        <f aca="true" t="shared" si="40" ref="N144:S144">N145</f>
        <v>443.59999999999997</v>
      </c>
      <c r="O144" s="233">
        <f t="shared" si="40"/>
        <v>0</v>
      </c>
      <c r="P144" s="234">
        <f t="shared" si="40"/>
        <v>443.55564</v>
      </c>
      <c r="Q144" s="234">
        <f t="shared" si="40"/>
        <v>0</v>
      </c>
      <c r="R144" s="234">
        <f t="shared" si="40"/>
        <v>482.911204</v>
      </c>
      <c r="S144" s="234">
        <f t="shared" si="40"/>
        <v>0</v>
      </c>
      <c r="T144" s="142" t="s">
        <v>192</v>
      </c>
      <c r="U144" s="142"/>
    </row>
    <row r="145" spans="1:21" s="8" customFormat="1" ht="44.25" customHeight="1">
      <c r="A145" s="309" t="s">
        <v>219</v>
      </c>
      <c r="B145" s="309"/>
      <c r="C145" s="309"/>
      <c r="D145" s="309"/>
      <c r="E145" s="309"/>
      <c r="F145" s="309"/>
      <c r="G145" s="309"/>
      <c r="H145" s="309"/>
      <c r="I145" s="167">
        <v>653</v>
      </c>
      <c r="J145" s="169">
        <v>8</v>
      </c>
      <c r="K145" s="169">
        <v>2</v>
      </c>
      <c r="L145" s="172" t="s">
        <v>403</v>
      </c>
      <c r="M145" s="171">
        <v>0</v>
      </c>
      <c r="N145" s="173">
        <f>N148+N149+N150</f>
        <v>443.59999999999997</v>
      </c>
      <c r="O145" s="173">
        <v>0</v>
      </c>
      <c r="P145" s="168">
        <f>P148+P149</f>
        <v>443.55564</v>
      </c>
      <c r="Q145" s="168">
        <f>Q148</f>
        <v>0</v>
      </c>
      <c r="R145" s="168">
        <f>R148+R149</f>
        <v>482.911204</v>
      </c>
      <c r="S145" s="168">
        <f>S148</f>
        <v>0</v>
      </c>
      <c r="T145" s="142" t="s">
        <v>192</v>
      </c>
      <c r="U145" s="142"/>
    </row>
    <row r="146" spans="1:21" ht="69.75" customHeight="1">
      <c r="A146" s="309" t="s">
        <v>200</v>
      </c>
      <c r="B146" s="309"/>
      <c r="C146" s="309"/>
      <c r="D146" s="309"/>
      <c r="E146" s="309"/>
      <c r="F146" s="309"/>
      <c r="G146" s="309"/>
      <c r="H146" s="309"/>
      <c r="I146" s="167"/>
      <c r="J146" s="169">
        <v>8</v>
      </c>
      <c r="K146" s="169">
        <v>2</v>
      </c>
      <c r="L146" s="172" t="s">
        <v>403</v>
      </c>
      <c r="M146" s="171">
        <v>100</v>
      </c>
      <c r="N146" s="173">
        <v>443.6</v>
      </c>
      <c r="O146" s="173">
        <f>O148</f>
        <v>0</v>
      </c>
      <c r="P146" s="168">
        <f>P148</f>
        <v>393.55564</v>
      </c>
      <c r="Q146" s="168">
        <f>Q148</f>
        <v>0</v>
      </c>
      <c r="R146" s="168">
        <f>R148</f>
        <v>432.911204</v>
      </c>
      <c r="S146" s="168">
        <f>S148</f>
        <v>0</v>
      </c>
      <c r="T146" s="142" t="s">
        <v>192</v>
      </c>
      <c r="U146" s="142"/>
    </row>
    <row r="147" spans="1:21" ht="24" customHeight="1">
      <c r="A147" s="309" t="s">
        <v>210</v>
      </c>
      <c r="B147" s="309"/>
      <c r="C147" s="309"/>
      <c r="D147" s="309"/>
      <c r="E147" s="309"/>
      <c r="F147" s="309"/>
      <c r="G147" s="309"/>
      <c r="H147" s="309"/>
      <c r="I147" s="167"/>
      <c r="J147" s="169">
        <v>8</v>
      </c>
      <c r="K147" s="169">
        <v>2</v>
      </c>
      <c r="L147" s="172" t="s">
        <v>403</v>
      </c>
      <c r="M147" s="171">
        <v>110</v>
      </c>
      <c r="N147" s="173">
        <v>443.6</v>
      </c>
      <c r="O147" s="173">
        <f>SUM(O148+O149)</f>
        <v>0</v>
      </c>
      <c r="P147" s="168">
        <f>SUM(P148+P149)</f>
        <v>443.55564</v>
      </c>
      <c r="Q147" s="168">
        <f>SUM(Q148+Q149)</f>
        <v>0</v>
      </c>
      <c r="R147" s="168">
        <f>SUM(R148+R149)</f>
        <v>482.911204</v>
      </c>
      <c r="S147" s="168">
        <f>SUM(S148+S149)</f>
        <v>0</v>
      </c>
      <c r="T147" s="142" t="s">
        <v>192</v>
      </c>
      <c r="U147" s="142"/>
    </row>
    <row r="148" spans="1:21" ht="19.5" customHeight="1">
      <c r="A148" s="309" t="s">
        <v>394</v>
      </c>
      <c r="B148" s="309"/>
      <c r="C148" s="309"/>
      <c r="D148" s="309"/>
      <c r="E148" s="309"/>
      <c r="F148" s="309"/>
      <c r="G148" s="309"/>
      <c r="H148" s="309"/>
      <c r="I148" s="167">
        <v>653</v>
      </c>
      <c r="J148" s="169">
        <v>8</v>
      </c>
      <c r="K148" s="169">
        <v>2</v>
      </c>
      <c r="L148" s="172" t="s">
        <v>403</v>
      </c>
      <c r="M148" s="171">
        <v>111</v>
      </c>
      <c r="N148" s="173">
        <v>340.7</v>
      </c>
      <c r="O148" s="173">
        <v>0</v>
      </c>
      <c r="P148" s="168">
        <v>393.55564</v>
      </c>
      <c r="Q148" s="168">
        <v>0</v>
      </c>
      <c r="R148" s="168">
        <f>393.55564*1.1</f>
        <v>432.911204</v>
      </c>
      <c r="S148" s="168">
        <v>0</v>
      </c>
      <c r="T148" s="142"/>
      <c r="U148" s="142"/>
    </row>
    <row r="149" spans="1:21" ht="35.25" customHeight="1">
      <c r="A149" s="309" t="s">
        <v>211</v>
      </c>
      <c r="B149" s="309"/>
      <c r="C149" s="309"/>
      <c r="D149" s="309"/>
      <c r="E149" s="309"/>
      <c r="F149" s="309"/>
      <c r="G149" s="309"/>
      <c r="H149" s="309"/>
      <c r="I149" s="167">
        <v>653</v>
      </c>
      <c r="J149" s="169">
        <v>8</v>
      </c>
      <c r="K149" s="169">
        <v>2</v>
      </c>
      <c r="L149" s="172" t="s">
        <v>403</v>
      </c>
      <c r="M149" s="171">
        <v>112</v>
      </c>
      <c r="N149" s="173">
        <v>50</v>
      </c>
      <c r="O149" s="173">
        <v>0</v>
      </c>
      <c r="P149" s="168">
        <v>50</v>
      </c>
      <c r="Q149" s="168">
        <v>0</v>
      </c>
      <c r="R149" s="168">
        <v>50</v>
      </c>
      <c r="S149" s="168">
        <v>0</v>
      </c>
      <c r="T149" s="142"/>
      <c r="U149" s="142"/>
    </row>
    <row r="150" spans="1:21" ht="48.75" customHeight="1">
      <c r="A150" s="306" t="s">
        <v>414</v>
      </c>
      <c r="B150" s="307"/>
      <c r="C150" s="307"/>
      <c r="D150" s="308"/>
      <c r="E150" s="198"/>
      <c r="F150" s="198"/>
      <c r="G150" s="198"/>
      <c r="H150" s="198"/>
      <c r="I150" s="167"/>
      <c r="J150" s="169">
        <v>8</v>
      </c>
      <c r="K150" s="169">
        <v>2</v>
      </c>
      <c r="L150" s="172" t="s">
        <v>403</v>
      </c>
      <c r="M150" s="171">
        <v>119</v>
      </c>
      <c r="N150" s="173">
        <v>52.9</v>
      </c>
      <c r="O150" s="173">
        <v>0</v>
      </c>
      <c r="P150" s="168"/>
      <c r="Q150" s="168"/>
      <c r="R150" s="168"/>
      <c r="S150" s="168"/>
      <c r="T150" s="142" t="s">
        <v>192</v>
      </c>
      <c r="U150" s="142"/>
    </row>
    <row r="151" spans="1:21" ht="24" customHeight="1">
      <c r="A151" s="303" t="s">
        <v>132</v>
      </c>
      <c r="B151" s="303"/>
      <c r="C151" s="303"/>
      <c r="D151" s="303"/>
      <c r="E151" s="303"/>
      <c r="F151" s="303"/>
      <c r="G151" s="303"/>
      <c r="H151" s="303"/>
      <c r="I151" s="179">
        <v>653</v>
      </c>
      <c r="J151" s="180">
        <v>10</v>
      </c>
      <c r="K151" s="180">
        <v>0</v>
      </c>
      <c r="L151" s="172" t="s">
        <v>386</v>
      </c>
      <c r="M151" s="181">
        <v>0</v>
      </c>
      <c r="N151" s="233">
        <f aca="true" t="shared" si="41" ref="N151:S151">N152</f>
        <v>60</v>
      </c>
      <c r="O151" s="233">
        <f t="shared" si="41"/>
        <v>0</v>
      </c>
      <c r="P151" s="234">
        <f t="shared" si="41"/>
        <v>60</v>
      </c>
      <c r="Q151" s="234">
        <f t="shared" si="41"/>
        <v>0</v>
      </c>
      <c r="R151" s="234">
        <f t="shared" si="41"/>
        <v>60</v>
      </c>
      <c r="S151" s="234">
        <f t="shared" si="41"/>
        <v>0</v>
      </c>
      <c r="T151" s="142" t="s">
        <v>192</v>
      </c>
      <c r="U151" s="142"/>
    </row>
    <row r="152" spans="1:21" ht="20.25" customHeight="1">
      <c r="A152" s="303" t="s">
        <v>133</v>
      </c>
      <c r="B152" s="303"/>
      <c r="C152" s="303"/>
      <c r="D152" s="303"/>
      <c r="E152" s="303"/>
      <c r="F152" s="303"/>
      <c r="G152" s="303"/>
      <c r="H152" s="303"/>
      <c r="I152" s="179">
        <v>653</v>
      </c>
      <c r="J152" s="180">
        <v>10</v>
      </c>
      <c r="K152" s="180">
        <v>1</v>
      </c>
      <c r="L152" s="172" t="s">
        <v>386</v>
      </c>
      <c r="M152" s="181">
        <v>0</v>
      </c>
      <c r="N152" s="233">
        <f aca="true" t="shared" si="42" ref="N152:S152">N156</f>
        <v>60</v>
      </c>
      <c r="O152" s="233">
        <f t="shared" si="42"/>
        <v>0</v>
      </c>
      <c r="P152" s="234">
        <f t="shared" si="42"/>
        <v>60</v>
      </c>
      <c r="Q152" s="234">
        <f t="shared" si="42"/>
        <v>0</v>
      </c>
      <c r="R152" s="234">
        <f t="shared" si="42"/>
        <v>60</v>
      </c>
      <c r="S152" s="234">
        <f t="shared" si="42"/>
        <v>0</v>
      </c>
      <c r="T152" s="142" t="s">
        <v>192</v>
      </c>
      <c r="U152" s="142"/>
    </row>
    <row r="153" spans="1:21" ht="45.75" customHeight="1">
      <c r="A153" s="311" t="s">
        <v>197</v>
      </c>
      <c r="B153" s="312"/>
      <c r="C153" s="312"/>
      <c r="D153" s="313"/>
      <c r="E153" s="178"/>
      <c r="F153" s="178"/>
      <c r="G153" s="178"/>
      <c r="H153" s="178"/>
      <c r="I153" s="179">
        <v>653</v>
      </c>
      <c r="J153" s="180">
        <v>10</v>
      </c>
      <c r="K153" s="180">
        <v>1</v>
      </c>
      <c r="L153" s="172" t="s">
        <v>386</v>
      </c>
      <c r="M153" s="181">
        <v>0</v>
      </c>
      <c r="N153" s="233">
        <f aca="true" t="shared" si="43" ref="N153:S155">N154</f>
        <v>60</v>
      </c>
      <c r="O153" s="233">
        <f t="shared" si="43"/>
        <v>0</v>
      </c>
      <c r="P153" s="234">
        <f t="shared" si="43"/>
        <v>60</v>
      </c>
      <c r="Q153" s="234">
        <f t="shared" si="43"/>
        <v>0</v>
      </c>
      <c r="R153" s="234">
        <f t="shared" si="43"/>
        <v>60</v>
      </c>
      <c r="S153" s="234">
        <f t="shared" si="43"/>
        <v>0</v>
      </c>
      <c r="T153" s="142" t="s">
        <v>192</v>
      </c>
      <c r="U153" s="142"/>
    </row>
    <row r="154" spans="1:21" ht="49.5" customHeight="1">
      <c r="A154" s="309" t="s">
        <v>220</v>
      </c>
      <c r="B154" s="309"/>
      <c r="C154" s="309"/>
      <c r="D154" s="309"/>
      <c r="E154" s="309"/>
      <c r="F154" s="309"/>
      <c r="G154" s="309"/>
      <c r="H154" s="309"/>
      <c r="I154" s="167">
        <v>653</v>
      </c>
      <c r="J154" s="169">
        <v>10</v>
      </c>
      <c r="K154" s="169">
        <v>1</v>
      </c>
      <c r="L154" s="170" t="s">
        <v>389</v>
      </c>
      <c r="M154" s="171">
        <v>0</v>
      </c>
      <c r="N154" s="173">
        <f>N155</f>
        <v>60</v>
      </c>
      <c r="O154" s="173">
        <f t="shared" si="43"/>
        <v>0</v>
      </c>
      <c r="P154" s="168">
        <f t="shared" si="43"/>
        <v>60</v>
      </c>
      <c r="Q154" s="168">
        <f t="shared" si="43"/>
        <v>0</v>
      </c>
      <c r="R154" s="168">
        <f t="shared" si="43"/>
        <v>60</v>
      </c>
      <c r="S154" s="168">
        <f t="shared" si="43"/>
        <v>0</v>
      </c>
      <c r="T154" s="142"/>
      <c r="U154" s="142"/>
    </row>
    <row r="155" spans="1:21" ht="19.5" customHeight="1">
      <c r="A155" s="309" t="s">
        <v>221</v>
      </c>
      <c r="B155" s="309" t="s">
        <v>221</v>
      </c>
      <c r="C155" s="309"/>
      <c r="D155" s="309"/>
      <c r="E155" s="309"/>
      <c r="F155" s="309"/>
      <c r="G155" s="309"/>
      <c r="H155" s="309"/>
      <c r="I155" s="179"/>
      <c r="J155" s="169">
        <v>10</v>
      </c>
      <c r="K155" s="169">
        <v>1</v>
      </c>
      <c r="L155" s="170" t="s">
        <v>389</v>
      </c>
      <c r="M155" s="171">
        <v>300</v>
      </c>
      <c r="N155" s="233">
        <f>N156</f>
        <v>60</v>
      </c>
      <c r="O155" s="233">
        <f t="shared" si="43"/>
        <v>0</v>
      </c>
      <c r="P155" s="234">
        <f t="shared" si="43"/>
        <v>60</v>
      </c>
      <c r="Q155" s="234">
        <f t="shared" si="43"/>
        <v>0</v>
      </c>
      <c r="R155" s="234">
        <f t="shared" si="43"/>
        <v>60</v>
      </c>
      <c r="S155" s="234">
        <f t="shared" si="43"/>
        <v>0</v>
      </c>
      <c r="T155" s="142"/>
      <c r="U155" s="142"/>
    </row>
    <row r="156" spans="1:21" ht="45.75" customHeight="1">
      <c r="A156" s="309" t="s">
        <v>222</v>
      </c>
      <c r="B156" s="309"/>
      <c r="C156" s="309"/>
      <c r="D156" s="309"/>
      <c r="E156" s="309"/>
      <c r="F156" s="309"/>
      <c r="G156" s="309"/>
      <c r="H156" s="309"/>
      <c r="I156" s="167">
        <v>653</v>
      </c>
      <c r="J156" s="169">
        <v>10</v>
      </c>
      <c r="K156" s="169">
        <v>1</v>
      </c>
      <c r="L156" s="170" t="s">
        <v>389</v>
      </c>
      <c r="M156" s="171">
        <v>321</v>
      </c>
      <c r="N156" s="173">
        <v>60</v>
      </c>
      <c r="O156" s="173">
        <v>0</v>
      </c>
      <c r="P156" s="168">
        <v>60</v>
      </c>
      <c r="Q156" s="168">
        <v>0</v>
      </c>
      <c r="R156" s="239">
        <v>60</v>
      </c>
      <c r="S156" s="168">
        <v>0</v>
      </c>
      <c r="T156" s="142"/>
      <c r="U156" s="142"/>
    </row>
    <row r="157" spans="1:21" ht="26.25" customHeight="1">
      <c r="A157" s="303" t="s">
        <v>284</v>
      </c>
      <c r="B157" s="303"/>
      <c r="C157" s="303"/>
      <c r="D157" s="303"/>
      <c r="E157" s="303"/>
      <c r="F157" s="303"/>
      <c r="G157" s="303"/>
      <c r="H157" s="303"/>
      <c r="I157" s="179">
        <v>653</v>
      </c>
      <c r="J157" s="180">
        <v>11</v>
      </c>
      <c r="K157" s="180">
        <v>0</v>
      </c>
      <c r="L157" s="172" t="s">
        <v>404</v>
      </c>
      <c r="M157" s="181">
        <v>0</v>
      </c>
      <c r="N157" s="233">
        <f aca="true" t="shared" si="44" ref="N157:S157">N158</f>
        <v>2588.844</v>
      </c>
      <c r="O157" s="233">
        <f t="shared" si="44"/>
        <v>0</v>
      </c>
      <c r="P157" s="234">
        <f t="shared" si="44"/>
        <v>2698.2612200000003</v>
      </c>
      <c r="Q157" s="234">
        <f t="shared" si="44"/>
        <v>0</v>
      </c>
      <c r="R157" s="234">
        <f t="shared" si="44"/>
        <v>2753.8952870000003</v>
      </c>
      <c r="S157" s="234">
        <f t="shared" si="44"/>
        <v>0</v>
      </c>
      <c r="T157" s="142" t="s">
        <v>192</v>
      </c>
      <c r="U157" s="142"/>
    </row>
    <row r="158" spans="1:21" s="8" customFormat="1" ht="28.5" customHeight="1">
      <c r="A158" s="303" t="s">
        <v>283</v>
      </c>
      <c r="B158" s="303"/>
      <c r="C158" s="303"/>
      <c r="D158" s="303"/>
      <c r="E158" s="303"/>
      <c r="F158" s="303"/>
      <c r="G158" s="303"/>
      <c r="H158" s="303"/>
      <c r="I158" s="179">
        <v>653</v>
      </c>
      <c r="J158" s="180">
        <v>11</v>
      </c>
      <c r="K158" s="180">
        <v>1</v>
      </c>
      <c r="L158" s="172" t="s">
        <v>404</v>
      </c>
      <c r="M158" s="181">
        <v>0</v>
      </c>
      <c r="N158" s="233">
        <f>N163+N164+N165+N168</f>
        <v>2588.844</v>
      </c>
      <c r="O158" s="233">
        <f>O163+O164+O168</f>
        <v>0</v>
      </c>
      <c r="P158" s="234">
        <f>P163+P164+P168</f>
        <v>2698.2612200000003</v>
      </c>
      <c r="Q158" s="234">
        <f>Q163+Q164+Q168</f>
        <v>0</v>
      </c>
      <c r="R158" s="234">
        <f>R163+R164+R168</f>
        <v>2753.8952870000003</v>
      </c>
      <c r="S158" s="234">
        <f>S163+S164+S168</f>
        <v>0</v>
      </c>
      <c r="T158" s="142" t="s">
        <v>192</v>
      </c>
      <c r="U158" s="142"/>
    </row>
    <row r="159" spans="1:21" s="8" customFormat="1" ht="47.25" customHeight="1">
      <c r="A159" s="304" t="s">
        <v>223</v>
      </c>
      <c r="B159" s="304"/>
      <c r="C159" s="304"/>
      <c r="D159" s="304"/>
      <c r="E159" s="178"/>
      <c r="F159" s="178"/>
      <c r="G159" s="178"/>
      <c r="H159" s="178"/>
      <c r="I159" s="179">
        <v>653</v>
      </c>
      <c r="J159" s="180">
        <v>11</v>
      </c>
      <c r="K159" s="180">
        <v>1</v>
      </c>
      <c r="L159" s="172" t="s">
        <v>404</v>
      </c>
      <c r="M159" s="181">
        <v>0</v>
      </c>
      <c r="N159" s="233">
        <f aca="true" t="shared" si="45" ref="N159:S159">N161+N166</f>
        <v>2588.844</v>
      </c>
      <c r="O159" s="233">
        <f t="shared" si="45"/>
        <v>0</v>
      </c>
      <c r="P159" s="234">
        <f t="shared" si="45"/>
        <v>2698.2612200000003</v>
      </c>
      <c r="Q159" s="234">
        <f t="shared" si="45"/>
        <v>0</v>
      </c>
      <c r="R159" s="234">
        <f t="shared" si="45"/>
        <v>2753.8952870000003</v>
      </c>
      <c r="S159" s="234">
        <f t="shared" si="45"/>
        <v>0</v>
      </c>
      <c r="T159" s="142" t="s">
        <v>192</v>
      </c>
      <c r="U159" s="142"/>
    </row>
    <row r="160" spans="1:21" ht="38.25" customHeight="1">
      <c r="A160" s="309" t="s">
        <v>428</v>
      </c>
      <c r="B160" s="309"/>
      <c r="C160" s="309"/>
      <c r="D160" s="309"/>
      <c r="E160" s="309"/>
      <c r="F160" s="309"/>
      <c r="G160" s="309"/>
      <c r="H160" s="309"/>
      <c r="I160" s="167">
        <v>653</v>
      </c>
      <c r="J160" s="169">
        <v>11</v>
      </c>
      <c r="K160" s="169">
        <v>1</v>
      </c>
      <c r="L160" s="170" t="s">
        <v>405</v>
      </c>
      <c r="M160" s="171">
        <v>0</v>
      </c>
      <c r="N160" s="173">
        <f aca="true" t="shared" si="46" ref="N160:S160">N161+N166</f>
        <v>2588.844</v>
      </c>
      <c r="O160" s="173">
        <f t="shared" si="46"/>
        <v>0</v>
      </c>
      <c r="P160" s="168">
        <f t="shared" si="46"/>
        <v>2698.2612200000003</v>
      </c>
      <c r="Q160" s="168">
        <f t="shared" si="46"/>
        <v>0</v>
      </c>
      <c r="R160" s="168">
        <f t="shared" si="46"/>
        <v>2753.8952870000003</v>
      </c>
      <c r="S160" s="168">
        <f t="shared" si="46"/>
        <v>0</v>
      </c>
      <c r="T160" s="142"/>
      <c r="U160" s="142"/>
    </row>
    <row r="161" spans="1:21" ht="71.25" customHeight="1">
      <c r="A161" s="309" t="s">
        <v>200</v>
      </c>
      <c r="B161" s="309"/>
      <c r="C161" s="309"/>
      <c r="D161" s="309"/>
      <c r="E161" s="309"/>
      <c r="F161" s="309"/>
      <c r="G161" s="309"/>
      <c r="H161" s="309"/>
      <c r="I161" s="167"/>
      <c r="J161" s="169">
        <v>11</v>
      </c>
      <c r="K161" s="169">
        <v>1</v>
      </c>
      <c r="L161" s="171" t="s">
        <v>405</v>
      </c>
      <c r="M161" s="171">
        <v>100</v>
      </c>
      <c r="N161" s="173">
        <f aca="true" t="shared" si="47" ref="N161:S161">N162</f>
        <v>1636.6</v>
      </c>
      <c r="O161" s="173">
        <f t="shared" si="47"/>
        <v>0</v>
      </c>
      <c r="P161" s="168">
        <f t="shared" si="47"/>
        <v>1586.54117</v>
      </c>
      <c r="Q161" s="168">
        <f t="shared" si="47"/>
        <v>0</v>
      </c>
      <c r="R161" s="168">
        <f t="shared" si="47"/>
        <v>1735.195287</v>
      </c>
      <c r="S161" s="168">
        <f t="shared" si="47"/>
        <v>0</v>
      </c>
      <c r="T161" s="142"/>
      <c r="U161" s="142"/>
    </row>
    <row r="162" spans="1:21" ht="29.25" customHeight="1">
      <c r="A162" s="309" t="s">
        <v>210</v>
      </c>
      <c r="B162" s="309"/>
      <c r="C162" s="309"/>
      <c r="D162" s="309"/>
      <c r="E162" s="309"/>
      <c r="F162" s="309"/>
      <c r="G162" s="309"/>
      <c r="H162" s="309"/>
      <c r="I162" s="167"/>
      <c r="J162" s="169">
        <v>11</v>
      </c>
      <c r="K162" s="169">
        <v>1</v>
      </c>
      <c r="L162" s="170" t="s">
        <v>405</v>
      </c>
      <c r="M162" s="171">
        <v>110</v>
      </c>
      <c r="N162" s="173">
        <f>SUM(N163+N164+N165)</f>
        <v>1636.6</v>
      </c>
      <c r="O162" s="173">
        <f>SUM(O163+O164)</f>
        <v>0</v>
      </c>
      <c r="P162" s="168">
        <f>SUM(P163+P164)</f>
        <v>1586.54117</v>
      </c>
      <c r="Q162" s="168">
        <f>SUM(Q163+Q164)</f>
        <v>0</v>
      </c>
      <c r="R162" s="168">
        <f>SUM(R163+R164)</f>
        <v>1735.195287</v>
      </c>
      <c r="S162" s="168">
        <f>SUM(S163+S164)</f>
        <v>0</v>
      </c>
      <c r="T162" s="142"/>
      <c r="U162" s="142"/>
    </row>
    <row r="163" spans="1:21" ht="29.25" customHeight="1">
      <c r="A163" s="309" t="s">
        <v>313</v>
      </c>
      <c r="B163" s="309"/>
      <c r="C163" s="309"/>
      <c r="D163" s="309"/>
      <c r="E163" s="309"/>
      <c r="F163" s="309"/>
      <c r="G163" s="309"/>
      <c r="H163" s="309"/>
      <c r="I163" s="167">
        <v>653</v>
      </c>
      <c r="J163" s="169">
        <v>11</v>
      </c>
      <c r="K163" s="169">
        <v>1</v>
      </c>
      <c r="L163" s="170" t="s">
        <v>405</v>
      </c>
      <c r="M163" s="171">
        <v>111</v>
      </c>
      <c r="N163" s="173">
        <v>1141.7</v>
      </c>
      <c r="O163" s="173">
        <v>0</v>
      </c>
      <c r="P163" s="168">
        <v>1486.54117</v>
      </c>
      <c r="Q163" s="168">
        <v>0</v>
      </c>
      <c r="R163" s="168">
        <f>1486.54117*1.1</f>
        <v>1635.195287</v>
      </c>
      <c r="S163" s="168">
        <v>0</v>
      </c>
      <c r="T163" s="142"/>
      <c r="U163" s="142"/>
    </row>
    <row r="164" spans="1:21" ht="27.75" customHeight="1">
      <c r="A164" s="309" t="s">
        <v>317</v>
      </c>
      <c r="B164" s="309"/>
      <c r="C164" s="309"/>
      <c r="D164" s="309"/>
      <c r="E164" s="309"/>
      <c r="F164" s="309"/>
      <c r="G164" s="309"/>
      <c r="H164" s="309"/>
      <c r="I164" s="167">
        <v>653</v>
      </c>
      <c r="J164" s="169">
        <v>11</v>
      </c>
      <c r="K164" s="169">
        <v>1</v>
      </c>
      <c r="L164" s="170" t="s">
        <v>405</v>
      </c>
      <c r="M164" s="171">
        <v>112</v>
      </c>
      <c r="N164" s="173">
        <v>150</v>
      </c>
      <c r="O164" s="173">
        <v>0</v>
      </c>
      <c r="P164" s="168">
        <v>100</v>
      </c>
      <c r="Q164" s="168">
        <v>0</v>
      </c>
      <c r="R164" s="168">
        <v>100</v>
      </c>
      <c r="S164" s="168">
        <v>0</v>
      </c>
      <c r="T164" s="142"/>
      <c r="U164" s="142"/>
    </row>
    <row r="165" spans="1:21" ht="43.5" customHeight="1">
      <c r="A165" s="306" t="s">
        <v>414</v>
      </c>
      <c r="B165" s="307"/>
      <c r="C165" s="307"/>
      <c r="D165" s="308"/>
      <c r="E165" s="198"/>
      <c r="F165" s="198"/>
      <c r="G165" s="198"/>
      <c r="H165" s="198"/>
      <c r="I165" s="167"/>
      <c r="J165" s="169">
        <v>11</v>
      </c>
      <c r="K165" s="169">
        <v>1</v>
      </c>
      <c r="L165" s="170" t="s">
        <v>405</v>
      </c>
      <c r="M165" s="171">
        <v>119</v>
      </c>
      <c r="N165" s="173">
        <v>344.9</v>
      </c>
      <c r="O165" s="173">
        <v>0</v>
      </c>
      <c r="P165" s="168"/>
      <c r="Q165" s="168"/>
      <c r="R165" s="168"/>
      <c r="S165" s="168"/>
      <c r="T165" s="140"/>
      <c r="U165" s="140"/>
    </row>
    <row r="166" spans="1:19" ht="27" customHeight="1">
      <c r="A166" s="309" t="s">
        <v>205</v>
      </c>
      <c r="B166" s="309"/>
      <c r="C166" s="309"/>
      <c r="D166" s="309"/>
      <c r="E166" s="309"/>
      <c r="F166" s="309"/>
      <c r="G166" s="309"/>
      <c r="H166" s="309"/>
      <c r="I166" s="167"/>
      <c r="J166" s="169">
        <v>11</v>
      </c>
      <c r="K166" s="169">
        <v>1</v>
      </c>
      <c r="L166" s="170" t="s">
        <v>405</v>
      </c>
      <c r="M166" s="171">
        <v>200</v>
      </c>
      <c r="N166" s="173">
        <f aca="true" t="shared" si="48" ref="N166:S167">N167</f>
        <v>952.2440000000001</v>
      </c>
      <c r="O166" s="173">
        <f>O167</f>
        <v>0</v>
      </c>
      <c r="P166" s="168">
        <f>P167</f>
        <v>1111.7200500000001</v>
      </c>
      <c r="Q166" s="168">
        <f>Q167</f>
        <v>0</v>
      </c>
      <c r="R166" s="168">
        <f>R167</f>
        <v>1018.7</v>
      </c>
      <c r="S166" s="168">
        <f>S167</f>
        <v>0</v>
      </c>
    </row>
    <row r="167" spans="1:19" ht="29.25" customHeight="1">
      <c r="A167" s="309" t="s">
        <v>202</v>
      </c>
      <c r="B167" s="309"/>
      <c r="C167" s="309"/>
      <c r="D167" s="309"/>
      <c r="E167" s="309"/>
      <c r="F167" s="309"/>
      <c r="G167" s="309"/>
      <c r="H167" s="309"/>
      <c r="I167" s="167"/>
      <c r="J167" s="169">
        <v>11</v>
      </c>
      <c r="K167" s="169">
        <v>1</v>
      </c>
      <c r="L167" s="170" t="s">
        <v>405</v>
      </c>
      <c r="M167" s="171">
        <v>240</v>
      </c>
      <c r="N167" s="173">
        <f t="shared" si="48"/>
        <v>952.2440000000001</v>
      </c>
      <c r="O167" s="173">
        <f t="shared" si="48"/>
        <v>0</v>
      </c>
      <c r="P167" s="168">
        <f t="shared" si="48"/>
        <v>1111.7200500000001</v>
      </c>
      <c r="Q167" s="168">
        <f t="shared" si="48"/>
        <v>0</v>
      </c>
      <c r="R167" s="168">
        <f t="shared" si="48"/>
        <v>1018.7</v>
      </c>
      <c r="S167" s="168">
        <f t="shared" si="48"/>
        <v>0</v>
      </c>
    </row>
    <row r="168" spans="1:19" ht="27.75" customHeight="1">
      <c r="A168" s="317" t="s">
        <v>314</v>
      </c>
      <c r="B168" s="317"/>
      <c r="C168" s="317"/>
      <c r="D168" s="317"/>
      <c r="E168" s="317"/>
      <c r="F168" s="242"/>
      <c r="G168" s="242"/>
      <c r="H168" s="242"/>
      <c r="I168" s="167">
        <v>653</v>
      </c>
      <c r="J168" s="169">
        <v>11</v>
      </c>
      <c r="K168" s="169">
        <v>1</v>
      </c>
      <c r="L168" s="170" t="s">
        <v>405</v>
      </c>
      <c r="M168" s="171">
        <v>244</v>
      </c>
      <c r="N168" s="173">
        <f>1072.044-119.8</f>
        <v>952.2440000000001</v>
      </c>
      <c r="O168" s="173">
        <v>0</v>
      </c>
      <c r="P168" s="168">
        <f>1177.82005-55.3-10.8</f>
        <v>1111.7200500000001</v>
      </c>
      <c r="Q168" s="168">
        <v>0</v>
      </c>
      <c r="R168" s="168">
        <f>1072-53.3</f>
        <v>1018.7</v>
      </c>
      <c r="S168" s="168">
        <v>0</v>
      </c>
    </row>
    <row r="169" spans="1:19" ht="15" customHeight="1">
      <c r="A169" s="243"/>
      <c r="B169" s="243"/>
      <c r="C169" s="243"/>
      <c r="D169" s="243"/>
      <c r="E169" s="243"/>
      <c r="F169" s="244"/>
      <c r="G169" s="244"/>
      <c r="H169" s="244"/>
      <c r="I169" s="244"/>
      <c r="J169" s="244"/>
      <c r="K169" s="244"/>
      <c r="L169" s="244"/>
      <c r="M169" s="244"/>
      <c r="N169" s="245"/>
      <c r="O169" s="245"/>
      <c r="P169" s="245"/>
      <c r="Q169" s="245"/>
      <c r="R169" s="246"/>
      <c r="S169" s="244" t="s">
        <v>312</v>
      </c>
    </row>
    <row r="170" spans="1:19" ht="15" customHeight="1">
      <c r="A170" s="210"/>
      <c r="B170" s="210"/>
      <c r="C170" s="210"/>
      <c r="D170" s="210"/>
      <c r="E170" s="210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247"/>
      <c r="S170" s="162"/>
    </row>
    <row r="171" spans="1:19" ht="15" customHeight="1">
      <c r="A171" s="210"/>
      <c r="B171" s="210"/>
      <c r="C171" s="210"/>
      <c r="D171" s="210"/>
      <c r="E171" s="210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247"/>
      <c r="S171" s="162"/>
    </row>
    <row r="172" spans="1:19" ht="15" customHeight="1">
      <c r="A172" s="210"/>
      <c r="B172" s="210"/>
      <c r="C172" s="210"/>
      <c r="D172" s="210"/>
      <c r="E172" s="210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247"/>
      <c r="S172" s="162"/>
    </row>
    <row r="173" spans="1:19" ht="15" customHeight="1">
      <c r="A173" s="210"/>
      <c r="B173" s="210"/>
      <c r="C173" s="210"/>
      <c r="D173" s="210"/>
      <c r="E173" s="210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247"/>
      <c r="S173" s="162"/>
    </row>
    <row r="174" spans="1:19" ht="15" customHeight="1">
      <c r="A174" s="210"/>
      <c r="B174" s="210"/>
      <c r="C174" s="210"/>
      <c r="D174" s="210"/>
      <c r="E174" s="210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247"/>
      <c r="S174" s="162"/>
    </row>
    <row r="175" spans="1:19" ht="15" customHeight="1">
      <c r="A175" s="210"/>
      <c r="B175" s="210"/>
      <c r="C175" s="210"/>
      <c r="D175" s="210"/>
      <c r="E175" s="210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247"/>
      <c r="S175" s="162"/>
    </row>
    <row r="176" spans="1:19" ht="15">
      <c r="A176" s="243"/>
      <c r="B176" s="243"/>
      <c r="C176" s="243"/>
      <c r="D176" s="243"/>
      <c r="E176" s="243"/>
      <c r="F176" s="244"/>
      <c r="G176" s="244"/>
      <c r="H176" s="244"/>
      <c r="I176" s="244"/>
      <c r="J176" s="244"/>
      <c r="K176" s="244"/>
      <c r="L176" s="244"/>
      <c r="M176" s="244"/>
      <c r="N176" s="245"/>
      <c r="O176" s="245"/>
      <c r="P176" s="245"/>
      <c r="Q176" s="245"/>
      <c r="R176" s="246"/>
      <c r="S176" s="244" t="s">
        <v>312</v>
      </c>
    </row>
  </sheetData>
  <sheetProtection/>
  <autoFilter ref="A1:S165"/>
  <mergeCells count="168">
    <mergeCell ref="A161:H161"/>
    <mergeCell ref="A88:H88"/>
    <mergeCell ref="A74:H74"/>
    <mergeCell ref="A94:H94"/>
    <mergeCell ref="A96:H96"/>
    <mergeCell ref="A99:H99"/>
    <mergeCell ref="A117:H117"/>
    <mergeCell ref="A112:H112"/>
    <mergeCell ref="A91:H91"/>
    <mergeCell ref="A93:H93"/>
    <mergeCell ref="A160:H160"/>
    <mergeCell ref="A138:H138"/>
    <mergeCell ref="A145:H145"/>
    <mergeCell ref="A153:D153"/>
    <mergeCell ref="A25:H25"/>
    <mergeCell ref="A28:H28"/>
    <mergeCell ref="A33:H33"/>
    <mergeCell ref="A83:H83"/>
    <mergeCell ref="A109:H109"/>
    <mergeCell ref="A70:H70"/>
    <mergeCell ref="A17:H17"/>
    <mergeCell ref="A20:H20"/>
    <mergeCell ref="A21:E21"/>
    <mergeCell ref="A22:D22"/>
    <mergeCell ref="A23:H23"/>
    <mergeCell ref="A19:H19"/>
    <mergeCell ref="A24:D24"/>
    <mergeCell ref="A18:H18"/>
    <mergeCell ref="A16:D16"/>
    <mergeCell ref="A6:S7"/>
    <mergeCell ref="A9:G11"/>
    <mergeCell ref="J9:M9"/>
    <mergeCell ref="N9:N11"/>
    <mergeCell ref="O9:O11"/>
    <mergeCell ref="P9:S9"/>
    <mergeCell ref="J10:M10"/>
    <mergeCell ref="A53:H53"/>
    <mergeCell ref="A42:H42"/>
    <mergeCell ref="A65:H65"/>
    <mergeCell ref="S10:S11"/>
    <mergeCell ref="A12:D12"/>
    <mergeCell ref="A13:H13"/>
    <mergeCell ref="A14:H14"/>
    <mergeCell ref="Q10:Q11"/>
    <mergeCell ref="R10:R11"/>
    <mergeCell ref="P10:P11"/>
    <mergeCell ref="A90:H90"/>
    <mergeCell ref="A84:H84"/>
    <mergeCell ref="A82:H82"/>
    <mergeCell ref="A15:H15"/>
    <mergeCell ref="A86:D86"/>
    <mergeCell ref="A39:H39"/>
    <mergeCell ref="A44:H44"/>
    <mergeCell ref="A48:H48"/>
    <mergeCell ref="A47:H47"/>
    <mergeCell ref="A50:H50"/>
    <mergeCell ref="A152:H152"/>
    <mergeCell ref="A154:H154"/>
    <mergeCell ref="A155:H155"/>
    <mergeCell ref="A159:D159"/>
    <mergeCell ref="A129:H129"/>
    <mergeCell ref="A132:H132"/>
    <mergeCell ref="A130:D130"/>
    <mergeCell ref="A135:H135"/>
    <mergeCell ref="A157:H157"/>
    <mergeCell ref="A133:H133"/>
    <mergeCell ref="A134:H134"/>
    <mergeCell ref="A141:H141"/>
    <mergeCell ref="A149:H149"/>
    <mergeCell ref="A100:H100"/>
    <mergeCell ref="A110:H110"/>
    <mergeCell ref="A101:H101"/>
    <mergeCell ref="A27:H27"/>
    <mergeCell ref="A26:H26"/>
    <mergeCell ref="A32:H32"/>
    <mergeCell ref="A37:D37"/>
    <mergeCell ref="A40:H40"/>
    <mergeCell ref="A29:H29"/>
    <mergeCell ref="A107:H107"/>
    <mergeCell ref="A105:H105"/>
    <mergeCell ref="A55:H55"/>
    <mergeCell ref="A51:H51"/>
    <mergeCell ref="A31:H31"/>
    <mergeCell ref="A61:D61"/>
    <mergeCell ref="A49:H49"/>
    <mergeCell ref="A41:D41"/>
    <mergeCell ref="A43:E43"/>
    <mergeCell ref="A45:H45"/>
    <mergeCell ref="A103:H103"/>
    <mergeCell ref="A66:D66"/>
    <mergeCell ref="A67:H67"/>
    <mergeCell ref="A59:H59"/>
    <mergeCell ref="A30:D30"/>
    <mergeCell ref="A34:H34"/>
    <mergeCell ref="A35:E35"/>
    <mergeCell ref="A36:D36"/>
    <mergeCell ref="A57:H57"/>
    <mergeCell ref="A56:H56"/>
    <mergeCell ref="A102:H102"/>
    <mergeCell ref="A62:H62"/>
    <mergeCell ref="A58:E58"/>
    <mergeCell ref="A60:H60"/>
    <mergeCell ref="A54:H54"/>
    <mergeCell ref="A95:H95"/>
    <mergeCell ref="A68:H68"/>
    <mergeCell ref="A89:H89"/>
    <mergeCell ref="A71:H71"/>
    <mergeCell ref="A73:H73"/>
    <mergeCell ref="A108:D108"/>
    <mergeCell ref="A165:D165"/>
    <mergeCell ref="A166:H166"/>
    <mergeCell ref="A150:D150"/>
    <mergeCell ref="A151:H151"/>
    <mergeCell ref="A114:H114"/>
    <mergeCell ref="A119:H119"/>
    <mergeCell ref="A116:H116"/>
    <mergeCell ref="A163:H163"/>
    <mergeCell ref="A140:H140"/>
    <mergeCell ref="A158:H158"/>
    <mergeCell ref="A146:H146"/>
    <mergeCell ref="A121:H121"/>
    <mergeCell ref="A167:H167"/>
    <mergeCell ref="A168:E168"/>
    <mergeCell ref="A164:H164"/>
    <mergeCell ref="A128:H128"/>
    <mergeCell ref="A126:H126"/>
    <mergeCell ref="A148:H148"/>
    <mergeCell ref="A162:H162"/>
    <mergeCell ref="A156:H156"/>
    <mergeCell ref="A98:D98"/>
    <mergeCell ref="A125:H125"/>
    <mergeCell ref="A127:H127"/>
    <mergeCell ref="A131:H131"/>
    <mergeCell ref="A139:H139"/>
    <mergeCell ref="A104:H104"/>
    <mergeCell ref="A106:H106"/>
    <mergeCell ref="A147:H147"/>
    <mergeCell ref="A122:H122"/>
    <mergeCell ref="A38:E38"/>
    <mergeCell ref="A81:H81"/>
    <mergeCell ref="A92:H92"/>
    <mergeCell ref="A97:D97"/>
    <mergeCell ref="A85:H85"/>
    <mergeCell ref="A87:H87"/>
    <mergeCell ref="A69:D69"/>
    <mergeCell ref="A72:H72"/>
    <mergeCell ref="A80:D80"/>
    <mergeCell ref="A75:D75"/>
    <mergeCell ref="A136:D136"/>
    <mergeCell ref="A137:H137"/>
    <mergeCell ref="A142:E142"/>
    <mergeCell ref="A46:H46"/>
    <mergeCell ref="A76:H76"/>
    <mergeCell ref="A77:H77"/>
    <mergeCell ref="A78:H78"/>
    <mergeCell ref="A79:H79"/>
    <mergeCell ref="A64:H64"/>
    <mergeCell ref="A111:H111"/>
    <mergeCell ref="A143:H143"/>
    <mergeCell ref="A144:D144"/>
    <mergeCell ref="A123:D123"/>
    <mergeCell ref="A124:D124"/>
    <mergeCell ref="A52:D52"/>
    <mergeCell ref="A113:D113"/>
    <mergeCell ref="A118:D118"/>
    <mergeCell ref="A120:E120"/>
    <mergeCell ref="A115:D115"/>
    <mergeCell ref="A63:H63"/>
  </mergeCells>
  <printOptions/>
  <pageMargins left="0.6299212598425197" right="0.2755905511811024" top="0.3937007874015748" bottom="0.31496062992125984" header="0.31496062992125984" footer="0.31496062992125984"/>
  <pageSetup fitToHeight="0" fitToWidth="1" horizontalDpi="600" verticalDpi="600" orientation="portrait" paperSize="9" scale="98" r:id="rId1"/>
  <rowBreaks count="1" manualBreakCount="1">
    <brk id="147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78.57421875" style="0" customWidth="1"/>
    <col min="2" max="2" width="12.8515625" style="0" hidden="1" customWidth="1"/>
    <col min="3" max="3" width="12.421875" style="0" bestFit="1" customWidth="1"/>
    <col min="4" max="4" width="11.28125" style="0" hidden="1" customWidth="1"/>
    <col min="5" max="6" width="12.421875" style="0" hidden="1" customWidth="1"/>
  </cols>
  <sheetData>
    <row r="1" spans="3:6" ht="15.75">
      <c r="C1" s="76" t="s">
        <v>54</v>
      </c>
      <c r="F1" s="76" t="s">
        <v>54</v>
      </c>
    </row>
    <row r="2" spans="3:6" ht="15.75">
      <c r="C2" s="76" t="s">
        <v>43</v>
      </c>
      <c r="F2" s="76" t="s">
        <v>43</v>
      </c>
    </row>
    <row r="3" spans="3:6" ht="15.75">
      <c r="C3" s="76" t="s">
        <v>44</v>
      </c>
      <c r="F3" s="76" t="s">
        <v>44</v>
      </c>
    </row>
    <row r="4" spans="3:6" ht="15.75">
      <c r="C4" s="76" t="s">
        <v>318</v>
      </c>
      <c r="F4" s="76" t="s">
        <v>318</v>
      </c>
    </row>
    <row r="5" spans="1:6" ht="15.75">
      <c r="A5" s="42"/>
      <c r="C5" s="76" t="s">
        <v>468</v>
      </c>
      <c r="F5" s="76" t="s">
        <v>282</v>
      </c>
    </row>
    <row r="6" spans="1:6" ht="60.75" customHeight="1">
      <c r="A6" s="285" t="s">
        <v>268</v>
      </c>
      <c r="B6" s="285"/>
      <c r="C6" s="285"/>
      <c r="D6" s="285"/>
      <c r="E6" s="285"/>
      <c r="F6" s="285"/>
    </row>
    <row r="7" spans="1:6" ht="15.75">
      <c r="A7" s="43"/>
      <c r="F7" s="53" t="s">
        <v>130</v>
      </c>
    </row>
    <row r="8" spans="1:6" ht="35.25" customHeight="1">
      <c r="A8" s="83" t="s">
        <v>52</v>
      </c>
      <c r="B8" s="46" t="s">
        <v>11</v>
      </c>
      <c r="C8" s="73" t="s">
        <v>53</v>
      </c>
      <c r="D8" s="73" t="s">
        <v>40</v>
      </c>
      <c r="E8" s="73" t="s">
        <v>190</v>
      </c>
      <c r="F8" s="73" t="s">
        <v>279</v>
      </c>
    </row>
    <row r="9" spans="1:6" ht="35.25" customHeight="1">
      <c r="A9" s="44" t="s">
        <v>128</v>
      </c>
      <c r="B9" s="65">
        <v>2935.2</v>
      </c>
      <c r="C9" s="99">
        <v>833.3</v>
      </c>
      <c r="D9" s="65">
        <f aca="true" t="shared" si="0" ref="D9:D14">C9-B9</f>
        <v>-2101.8999999999996</v>
      </c>
      <c r="E9" s="65">
        <v>833.3</v>
      </c>
      <c r="F9" s="65">
        <v>833.3</v>
      </c>
    </row>
    <row r="10" spans="1:6" ht="31.5">
      <c r="A10" s="44" t="s">
        <v>129</v>
      </c>
      <c r="B10" s="65">
        <v>2935.2</v>
      </c>
      <c r="C10" s="99">
        <v>4471</v>
      </c>
      <c r="D10" s="65">
        <f t="shared" si="0"/>
        <v>1535.8000000000002</v>
      </c>
      <c r="E10" s="65">
        <v>4356.3</v>
      </c>
      <c r="F10" s="65">
        <v>4363.8</v>
      </c>
    </row>
    <row r="11" spans="1:6" ht="31.5" customHeight="1">
      <c r="A11" s="45" t="s">
        <v>12</v>
      </c>
      <c r="B11" s="66">
        <v>27661.2</v>
      </c>
      <c r="C11" s="66">
        <v>17871.8</v>
      </c>
      <c r="D11" s="65">
        <f t="shared" si="0"/>
        <v>-9789.400000000001</v>
      </c>
      <c r="E11" s="66">
        <v>23963</v>
      </c>
      <c r="F11" s="66">
        <v>21182.2</v>
      </c>
    </row>
    <row r="12" spans="1:6" ht="31.5">
      <c r="A12" s="44" t="s">
        <v>13</v>
      </c>
      <c r="B12" s="65">
        <v>167.1</v>
      </c>
      <c r="C12" s="65">
        <v>156</v>
      </c>
      <c r="D12" s="65">
        <f t="shared" si="0"/>
        <v>-11.099999999999994</v>
      </c>
      <c r="E12" s="65">
        <v>156</v>
      </c>
      <c r="F12" s="65">
        <v>156</v>
      </c>
    </row>
    <row r="13" spans="1:6" ht="31.5">
      <c r="A13" s="44" t="s">
        <v>14</v>
      </c>
      <c r="B13" s="65">
        <v>21</v>
      </c>
      <c r="C13" s="65">
        <v>16.4</v>
      </c>
      <c r="D13" s="65">
        <f t="shared" si="0"/>
        <v>-4.600000000000001</v>
      </c>
      <c r="E13" s="65">
        <v>16.4</v>
      </c>
      <c r="F13" s="65">
        <v>16.4</v>
      </c>
    </row>
    <row r="14" spans="1:6" ht="15.75">
      <c r="A14" s="44" t="s">
        <v>298</v>
      </c>
      <c r="B14" s="65">
        <v>1396.9</v>
      </c>
      <c r="C14" s="65">
        <f>1367.1+8.7+1301+26.3</f>
        <v>2703.1000000000004</v>
      </c>
      <c r="D14" s="65">
        <f t="shared" si="0"/>
        <v>1306.2000000000003</v>
      </c>
      <c r="E14" s="65">
        <f>1367.1+8.7+1366</f>
        <v>2741.8</v>
      </c>
      <c r="F14" s="65">
        <f>1367.1+3.8+1434</f>
        <v>2804.8999999999996</v>
      </c>
    </row>
    <row r="15" spans="1:6" ht="15.75">
      <c r="A15" s="47" t="s">
        <v>15</v>
      </c>
      <c r="B15" s="67">
        <f>SUM(B10:B14)</f>
        <v>32181.4</v>
      </c>
      <c r="C15" s="67">
        <f>SUM(C9:C14)</f>
        <v>26051.6</v>
      </c>
      <c r="D15" s="67">
        <f>SUM(D9:D14)</f>
        <v>-9065</v>
      </c>
      <c r="E15" s="67">
        <f>SUM(E9:E14)</f>
        <v>32066.8</v>
      </c>
      <c r="F15" s="141">
        <f>SUM(F9:F14)</f>
        <v>29356.600000000006</v>
      </c>
    </row>
  </sheetData>
  <sheetProtection/>
  <mergeCells count="1">
    <mergeCell ref="A6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PageLayoutView="0" workbookViewId="0" topLeftCell="A1">
      <selection activeCell="K15" sqref="K15"/>
    </sheetView>
  </sheetViews>
  <sheetFormatPr defaultColWidth="9.140625" defaultRowHeight="15"/>
  <cols>
    <col min="1" max="1" width="29.57421875" style="0" customWidth="1"/>
    <col min="2" max="2" width="59.57421875" style="0" customWidth="1"/>
    <col min="3" max="4" width="10.8515625" style="0" hidden="1" customWidth="1"/>
    <col min="5" max="5" width="14.7109375" style="0" customWidth="1"/>
    <col min="6" max="7" width="0" style="0" hidden="1" customWidth="1"/>
  </cols>
  <sheetData>
    <row r="1" spans="1:5" ht="15">
      <c r="A1" s="48"/>
      <c r="B1" s="49"/>
      <c r="C1" s="50"/>
      <c r="D1" s="50"/>
      <c r="E1" s="50"/>
    </row>
    <row r="2" spans="1:7" ht="18.75">
      <c r="A2" s="48"/>
      <c r="B2" s="49"/>
      <c r="C2" s="51"/>
      <c r="D2" s="51"/>
      <c r="E2" s="76" t="s">
        <v>452</v>
      </c>
      <c r="G2" s="76" t="s">
        <v>55</v>
      </c>
    </row>
    <row r="3" spans="1:7" ht="18.75">
      <c r="A3" s="48"/>
      <c r="B3" s="52"/>
      <c r="C3" s="51"/>
      <c r="D3" s="51"/>
      <c r="E3" s="76" t="s">
        <v>43</v>
      </c>
      <c r="G3" s="76" t="s">
        <v>43</v>
      </c>
    </row>
    <row r="4" spans="1:7" ht="18.75">
      <c r="A4" s="48"/>
      <c r="B4" s="53"/>
      <c r="C4" s="51"/>
      <c r="D4" s="51"/>
      <c r="E4" s="76" t="s">
        <v>44</v>
      </c>
      <c r="G4" s="76" t="s">
        <v>44</v>
      </c>
    </row>
    <row r="5" spans="1:7" ht="18.75">
      <c r="A5" s="48"/>
      <c r="B5" s="53"/>
      <c r="C5" s="51"/>
      <c r="D5" s="51"/>
      <c r="E5" s="76" t="s">
        <v>318</v>
      </c>
      <c r="G5" s="76" t="s">
        <v>318</v>
      </c>
    </row>
    <row r="6" spans="1:7" ht="15.75">
      <c r="A6" s="48"/>
      <c r="B6" s="53"/>
      <c r="C6" s="53"/>
      <c r="D6" s="53"/>
      <c r="E6" s="76" t="s">
        <v>467</v>
      </c>
      <c r="G6" s="76" t="s">
        <v>282</v>
      </c>
    </row>
    <row r="7" spans="1:5" ht="15">
      <c r="A7" s="48"/>
      <c r="B7" s="49"/>
      <c r="C7" s="52"/>
      <c r="D7" s="52"/>
      <c r="E7" s="52"/>
    </row>
    <row r="8" spans="1:7" ht="18.75">
      <c r="A8" s="328" t="s">
        <v>17</v>
      </c>
      <c r="B8" s="328"/>
      <c r="C8" s="328"/>
      <c r="D8" s="328"/>
      <c r="E8" s="328"/>
      <c r="F8" s="328"/>
      <c r="G8" s="328"/>
    </row>
    <row r="9" spans="1:7" ht="18.75" customHeight="1">
      <c r="A9" s="329" t="s">
        <v>269</v>
      </c>
      <c r="B9" s="329"/>
      <c r="C9" s="329"/>
      <c r="D9" s="329"/>
      <c r="E9" s="329"/>
      <c r="F9" s="329"/>
      <c r="G9" s="329"/>
    </row>
    <row r="10" spans="1:5" ht="15">
      <c r="A10" s="48"/>
      <c r="B10" s="49"/>
      <c r="C10" s="50"/>
      <c r="D10" s="50"/>
      <c r="E10" s="50"/>
    </row>
    <row r="11" spans="1:7" ht="15">
      <c r="A11" s="48"/>
      <c r="B11" s="49"/>
      <c r="C11" s="50"/>
      <c r="D11" s="330"/>
      <c r="E11" s="330"/>
      <c r="F11" s="330" t="s">
        <v>130</v>
      </c>
      <c r="G11" s="330"/>
    </row>
    <row r="12" spans="1:7" ht="15">
      <c r="A12" s="333" t="s">
        <v>18</v>
      </c>
      <c r="B12" s="335" t="s">
        <v>19</v>
      </c>
      <c r="C12" s="337" t="s">
        <v>20</v>
      </c>
      <c r="D12" s="331"/>
      <c r="E12" s="332"/>
      <c r="F12" s="331" t="s">
        <v>183</v>
      </c>
      <c r="G12" s="332"/>
    </row>
    <row r="13" spans="1:7" ht="15">
      <c r="A13" s="334"/>
      <c r="B13" s="336"/>
      <c r="C13" s="54" t="s">
        <v>21</v>
      </c>
      <c r="D13" s="54" t="s">
        <v>22</v>
      </c>
      <c r="E13" s="54" t="s">
        <v>184</v>
      </c>
      <c r="F13" s="54" t="s">
        <v>191</v>
      </c>
      <c r="G13" s="54" t="s">
        <v>280</v>
      </c>
    </row>
    <row r="14" spans="1:7" ht="29.25" hidden="1">
      <c r="A14" s="55"/>
      <c r="B14" s="56" t="s">
        <v>23</v>
      </c>
      <c r="C14" s="54"/>
      <c r="D14" s="54"/>
      <c r="E14" s="57">
        <f>661492.51/1000</f>
        <v>661.49251</v>
      </c>
      <c r="F14" s="54"/>
      <c r="G14" s="57">
        <f>661492.51/1000</f>
        <v>661.49251</v>
      </c>
    </row>
    <row r="15" spans="1:7" ht="29.25">
      <c r="A15" s="58" t="s">
        <v>24</v>
      </c>
      <c r="B15" s="56" t="s">
        <v>25</v>
      </c>
      <c r="C15" s="57">
        <f>C20-C16</f>
        <v>1697.699999999997</v>
      </c>
      <c r="D15" s="57">
        <v>58</v>
      </c>
      <c r="E15" s="57">
        <f>E20-E16</f>
        <v>0</v>
      </c>
      <c r="F15" s="57" t="e">
        <f>F20-F16</f>
        <v>#REF!</v>
      </c>
      <c r="G15" s="57" t="e">
        <f>G20-G16</f>
        <v>#REF!</v>
      </c>
    </row>
    <row r="16" spans="1:7" ht="15">
      <c r="A16" s="59" t="s">
        <v>26</v>
      </c>
      <c r="B16" s="60" t="s">
        <v>27</v>
      </c>
      <c r="C16" s="61">
        <f>C17</f>
        <v>84191.6</v>
      </c>
      <c r="D16" s="61">
        <v>33746.6</v>
      </c>
      <c r="E16" s="61">
        <v>27271.6</v>
      </c>
      <c r="F16" s="61" t="e">
        <f aca="true" t="shared" si="0" ref="F16:G18">F17</f>
        <v>#REF!</v>
      </c>
      <c r="G16" s="61" t="e">
        <f t="shared" si="0"/>
        <v>#REF!</v>
      </c>
    </row>
    <row r="17" spans="1:7" ht="22.5" customHeight="1">
      <c r="A17" s="62" t="s">
        <v>28</v>
      </c>
      <c r="B17" s="63" t="s">
        <v>29</v>
      </c>
      <c r="C17" s="64">
        <f>C18</f>
        <v>84191.6</v>
      </c>
      <c r="D17" s="64">
        <v>33746.6</v>
      </c>
      <c r="E17" s="64">
        <v>27271.6</v>
      </c>
      <c r="F17" s="64" t="e">
        <f t="shared" si="0"/>
        <v>#REF!</v>
      </c>
      <c r="G17" s="64" t="e">
        <f t="shared" si="0"/>
        <v>#REF!</v>
      </c>
    </row>
    <row r="18" spans="1:7" ht="15">
      <c r="A18" s="62" t="s">
        <v>30</v>
      </c>
      <c r="B18" s="63" t="s">
        <v>31</v>
      </c>
      <c r="C18" s="64">
        <f>C19</f>
        <v>84191.6</v>
      </c>
      <c r="D18" s="64">
        <v>33746.6</v>
      </c>
      <c r="E18" s="64">
        <v>27271.6</v>
      </c>
      <c r="F18" s="64" t="e">
        <f t="shared" si="0"/>
        <v>#REF!</v>
      </c>
      <c r="G18" s="64" t="e">
        <f t="shared" si="0"/>
        <v>#REF!</v>
      </c>
    </row>
    <row r="19" spans="1:7" ht="30">
      <c r="A19" s="62" t="s">
        <v>32</v>
      </c>
      <c r="B19" s="63" t="s">
        <v>429</v>
      </c>
      <c r="C19" s="64">
        <v>84191.6</v>
      </c>
      <c r="D19" s="64">
        <v>33746.6</v>
      </c>
      <c r="E19" s="64">
        <v>27271.6</v>
      </c>
      <c r="F19" s="64" t="e">
        <f>#REF!</f>
        <v>#REF!</v>
      </c>
      <c r="G19" s="64" t="e">
        <f>#REF!</f>
        <v>#REF!</v>
      </c>
    </row>
    <row r="20" spans="1:7" ht="15">
      <c r="A20" s="59" t="s">
        <v>33</v>
      </c>
      <c r="B20" s="60" t="s">
        <v>34</v>
      </c>
      <c r="C20" s="61">
        <f>C21</f>
        <v>85889.3</v>
      </c>
      <c r="D20" s="61">
        <v>33804.6</v>
      </c>
      <c r="E20" s="61">
        <f>E21</f>
        <v>27271.6</v>
      </c>
      <c r="F20" s="61" t="e">
        <f aca="true" t="shared" si="1" ref="F20:G22">F21</f>
        <v>#REF!</v>
      </c>
      <c r="G20" s="61" t="e">
        <f t="shared" si="1"/>
        <v>#REF!</v>
      </c>
    </row>
    <row r="21" spans="1:7" ht="15">
      <c r="A21" s="62" t="s">
        <v>35</v>
      </c>
      <c r="B21" s="63" t="s">
        <v>36</v>
      </c>
      <c r="C21" s="61">
        <f>C22</f>
        <v>85889.3</v>
      </c>
      <c r="D21" s="64">
        <v>33804.6</v>
      </c>
      <c r="E21" s="64">
        <f>E22</f>
        <v>27271.6</v>
      </c>
      <c r="F21" s="64" t="e">
        <f t="shared" si="1"/>
        <v>#REF!</v>
      </c>
      <c r="G21" s="64" t="e">
        <f t="shared" si="1"/>
        <v>#REF!</v>
      </c>
    </row>
    <row r="22" spans="1:7" ht="15">
      <c r="A22" s="62" t="s">
        <v>37</v>
      </c>
      <c r="B22" s="63" t="s">
        <v>38</v>
      </c>
      <c r="C22" s="61">
        <f>C23</f>
        <v>85889.3</v>
      </c>
      <c r="D22" s="64">
        <v>33804.6</v>
      </c>
      <c r="E22" s="64">
        <f>E23</f>
        <v>27271.6</v>
      </c>
      <c r="F22" s="64" t="e">
        <f t="shared" si="1"/>
        <v>#REF!</v>
      </c>
      <c r="G22" s="64" t="e">
        <f t="shared" si="1"/>
        <v>#REF!</v>
      </c>
    </row>
    <row r="23" spans="1:7" ht="30">
      <c r="A23" s="62" t="s">
        <v>39</v>
      </c>
      <c r="B23" s="63" t="s">
        <v>430</v>
      </c>
      <c r="C23" s="61">
        <v>85889.3</v>
      </c>
      <c r="D23" s="64">
        <v>33804.6</v>
      </c>
      <c r="E23" s="64">
        <f>'Приложение 6 (2)'!N13</f>
        <v>27271.6</v>
      </c>
      <c r="F23" s="64" t="e">
        <f>'Приложение 6 (2)'!P13</f>
        <v>#REF!</v>
      </c>
      <c r="G23" s="64" t="e">
        <f>'Приложение 6 (2)'!R13</f>
        <v>#REF!</v>
      </c>
    </row>
    <row r="24" spans="1:7" ht="29.25">
      <c r="A24" s="62"/>
      <c r="B24" s="56" t="s">
        <v>137</v>
      </c>
      <c r="C24" s="57">
        <f>C20-C16</f>
        <v>1697.699999999997</v>
      </c>
      <c r="D24" s="57">
        <v>58</v>
      </c>
      <c r="E24" s="57">
        <f>E15</f>
        <v>0</v>
      </c>
      <c r="F24" s="57" t="e">
        <f>F15</f>
        <v>#REF!</v>
      </c>
      <c r="G24" s="57" t="e">
        <f>G15</f>
        <v>#REF!</v>
      </c>
    </row>
  </sheetData>
  <sheetProtection/>
  <mergeCells count="8">
    <mergeCell ref="A8:G8"/>
    <mergeCell ref="A9:G9"/>
    <mergeCell ref="F11:G11"/>
    <mergeCell ref="F12:G12"/>
    <mergeCell ref="D11:E11"/>
    <mergeCell ref="A12:A13"/>
    <mergeCell ref="B12:B13"/>
    <mergeCell ref="C12:E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ттттт</dc:creator>
  <cp:keywords/>
  <dc:description/>
  <cp:lastModifiedBy>User</cp:lastModifiedBy>
  <cp:lastPrinted>2015-12-29T03:14:58Z</cp:lastPrinted>
  <dcterms:created xsi:type="dcterms:W3CDTF">2010-11-01T11:35:27Z</dcterms:created>
  <dcterms:modified xsi:type="dcterms:W3CDTF">2015-12-29T04:21:38Z</dcterms:modified>
  <cp:category/>
  <cp:version/>
  <cp:contentType/>
  <cp:contentStatus/>
</cp:coreProperties>
</file>